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20" yWindow="90" windowWidth="18915" windowHeight="12075" tabRatio="829" activeTab="0"/>
  </bookViews>
  <sheets>
    <sheet name="Einleitung" sheetId="1" r:id="rId1"/>
    <sheet name="Charakterbogen" sheetId="2" r:id="rId2"/>
    <sheet name="GENERIERUNG WERTE" sheetId="3" r:id="rId3"/>
    <sheet name="GENERIERUNG VORTEILE" sheetId="4" r:id="rId4"/>
    <sheet name="GENERIERUNG MEISTERSCHAFTEN" sheetId="5" r:id="rId5"/>
    <sheet name="Archetypen" sheetId="6" r:id="rId6"/>
    <sheet name="Daten" sheetId="7" r:id="rId7"/>
    <sheet name="Hilfstabellen" sheetId="8" r:id="rId8"/>
    <sheet name="Eigenschaften" sheetId="9" r:id="rId9"/>
    <sheet name="Vorteile-Eigenschaften" sheetId="10" r:id="rId10"/>
    <sheet name="Meisterschaften-Eigenschaften" sheetId="11" r:id="rId11"/>
  </sheets>
  <definedNames>
    <definedName name="_xlnm._FilterDatabase" localSheetId="8" hidden="1">'Eigenschaften'!$A$3:$N$74</definedName>
    <definedName name="ABSTAMMUNG">'GENERIERUNG WERTE'!#REF!</definedName>
    <definedName name="ABWEHRSUFFIX">'Daten'!$B$22</definedName>
    <definedName name="AKR">'Eigenschaften'!$A$4</definedName>
    <definedName name="AKRABW">'Eigenschaften'!$A$5</definedName>
    <definedName name="AKROBATIK">'GENERIERUNG WERTE'!$H$39</definedName>
    <definedName name="AKROBATIKABWEHR">'GENERIERUNG WERTE'!$M$39</definedName>
    <definedName name="ALC">'Eigenschaften'!$A$6</definedName>
    <definedName name="ALCHEMIE">'GENERIERUNG WERTE'!$W$28</definedName>
    <definedName name="ANF">'Eigenschaften'!$A$7</definedName>
    <definedName name="ANFÜHREN">'GENERIERUNG WERTE'!$W$29</definedName>
    <definedName name="ANZAHLATTRIBUTPUNKTE">'Daten'!$B$13</definedName>
    <definedName name="ANZAHLSTARTPUNKTE">'Daten'!$B$17</definedName>
    <definedName name="ARK">'Eigenschaften'!$A$8</definedName>
    <definedName name="ARKANEKUNDE">'GENERIERUNG WERTE'!$W$30</definedName>
    <definedName name="ATH">'Eigenschaften'!$A$9</definedName>
    <definedName name="ATHLETIK">'GENERIERUNG WERTE'!$W$31</definedName>
    <definedName name="ATTRIBUT">'Daten'!$D$16:$D$24</definedName>
    <definedName name="ATTRIBUTETABLEAU">'GENERIERUNG WERTE'!$B$15:$E$23</definedName>
    <definedName name="ATTRIBUTSPUNKTEPLAUSI">#REF!</definedName>
    <definedName name="ATTRIBUTSUMME">'GENERIERUNG WERTE'!$F$15:$F$23</definedName>
    <definedName name="AUS">'Eigenschaften'!$A$10</definedName>
    <definedName name="AUSBILDUNG">'GENERIERUNG WERTE'!$S$9</definedName>
    <definedName name="AUSBILDUNGLISTE">'Daten'!$A$38:$A$44</definedName>
    <definedName name="AUSSTRAHLUNG">'GENERIERUNG WERTE'!$H$15</definedName>
    <definedName name="BASISGRÖßE">'Daten'!$B$4</definedName>
    <definedName name="BEW">'Eigenschaften'!$A$11</definedName>
    <definedName name="BEWEGLICHKEIT">'GENERIERUNG WERTE'!$H$16</definedName>
    <definedName name="CHARAKTERNAME">'GENERIERUNG WERTE'!$F$8</definedName>
    <definedName name="DAR">'Eigenschaften'!$A$12</definedName>
    <definedName name="DARBIETUNG">'GENERIERUNG WERTE'!$W$32</definedName>
    <definedName name="Datum">'Einleitung'!$C$3</definedName>
    <definedName name="_xlnm.Print_Area" localSheetId="1">'Charakterbogen'!$A$1:$AI$64</definedName>
    <definedName name="_xlnm.Print_Area" localSheetId="0">'Einleitung'!$A$1:$C$17</definedName>
    <definedName name="EDE">'Eigenschaften'!$A$13</definedName>
    <definedName name="EDELHANDWERK">'GENERIERUNG WERTE'!$W$33</definedName>
    <definedName name="EIGENSCHAFTTABLEAU">'Eigenschaften'!$A$4:$N$74</definedName>
    <definedName name="EMP">'Eigenschaften'!$A$14</definedName>
    <definedName name="EMPATHIE">'GENERIERUNG WERTE'!$W$34</definedName>
    <definedName name="ENT">'Eigenschaften'!$A$15</definedName>
    <definedName name="ENTABW">'Eigenschaften'!$A$16</definedName>
    <definedName name="ENTSCHLOSSENHEIT">'GENERIERUNG WERTE'!$H$40</definedName>
    <definedName name="ENTSCHLOSSENHEITABWEHR">'GENERIERUNG WERTE'!$M$40</definedName>
    <definedName name="FERTIGKEITENSUMME">'GENERIERUNG WERTE'!$F$28:$F$32,'GENERIERUNG WERTE'!$F$39:$F$41,'GENERIERUNG WERTE'!$F$33:$F$36,'GENERIERUNG WERTE'!$F$46:$F$51,'GENERIERUNG WERTE'!$U$28:$U$54</definedName>
    <definedName name="FERTIGKEITENSUMMELINKS">'GENERIERUNG WERTE'!$F$28:$F$51</definedName>
    <definedName name="FERTIGKEITENSUMMERECHTS">'GENERIERUNG WERTE'!$U$28:$U$54</definedName>
    <definedName name="FERTIGKEITTABLEAU">'Eigenschaften'!$A$4:$N$74</definedName>
    <definedName name="FIN">'Eigenschaften'!$A$17</definedName>
    <definedName name="FINGERFERTIGKEIT">'GENERIERUNG WERTE'!$W$35</definedName>
    <definedName name="FIXABWEHR">'Daten'!$B$8</definedName>
    <definedName name="FIXGEISTWIDER">'Daten'!$B$7</definedName>
    <definedName name="FIXKÖRPERWIDER">'Daten'!$B$6</definedName>
    <definedName name="FIXSPLITTER">'Daten'!$B$9</definedName>
    <definedName name="FIXVERTEIDIGUNG">'Daten'!$B$5</definedName>
    <definedName name="FOK">'Eigenschaften'!$A$18</definedName>
    <definedName name="FOKUS">'GENERIERUNG WERTE'!$W$18</definedName>
    <definedName name="GEISTIGERWIDERSTAND">'GENERIERUNG WERTE'!$W$23</definedName>
    <definedName name="GES">'Eigenschaften'!$A$21</definedName>
    <definedName name="GESCHICHTEUNDMYTHEN">'GENERIERUNG WERTE'!$W$36</definedName>
    <definedName name="GESCHICKLICHKEIT">'GENERIERUNG WERTE'!$H$17</definedName>
    <definedName name="GESCHLECHT">'GENERIERUNG WERTE'!$F$10</definedName>
    <definedName name="GESCHLECHTLISTE">'Daten'!$D$12:$D$13</definedName>
    <definedName name="GESCHÜTZE">'GENERIERUNG WERTE'!$H$33</definedName>
    <definedName name="GESCHWINDIGKEIT">'GENERIERUNG WERTE'!$W$16</definedName>
    <definedName name="GRÖ">'Eigenschaften'!$A$24</definedName>
    <definedName name="GRÖßE">'GENERIERUNG WERTE'!$W$15</definedName>
    <definedName name="GSW">'Eigenschaften'!$A$23</definedName>
    <definedName name="GTZ">'Eigenschaften'!$A$22</definedName>
    <definedName name="GUM">'Eigenschaften'!$A$20</definedName>
    <definedName name="GWI">'Eigenschaften'!$A$19</definedName>
    <definedName name="HAN">'Eigenschaften'!$A$25</definedName>
    <definedName name="HANABW">'Eigenschaften'!$A$26</definedName>
    <definedName name="HANDGEMENGE">'GENERIERUNG WERTE'!$H$28</definedName>
    <definedName name="HANDGEMENGEABWEHR">'GENERIERUNG WERTE'!$M$28</definedName>
    <definedName name="HEI">'Eigenschaften'!$A$27</definedName>
    <definedName name="HEILKUNDE">'GENERIERUNG WERTE'!$W$37</definedName>
    <definedName name="HEIMLICHKEIT">'GENERIERUNG WERTE'!$W$38</definedName>
    <definedName name="HIE">'Eigenschaften'!$A$29</definedName>
    <definedName name="HIEABW">'Eigenschaften'!$A$30</definedName>
    <definedName name="HIEBWAFFEN">'GENERIERUNG WERTE'!$H$29</definedName>
    <definedName name="HIEBWAFFENABWEHR">'GENERIERUNG WERTE'!$M$29</definedName>
    <definedName name="HILFSTABELLEAKRONYMEIGENSCHAFT">'Hilfstabellen'!$K$6:$L$75</definedName>
    <definedName name="HILFSTABELLEMAGIESCHULE">'Hilfstabellen'!$A$23:$B$28</definedName>
    <definedName name="HILFSTABELLEMANIPULATION">'Hilfstabellen'!$A$6:$C$15</definedName>
    <definedName name="HILFSTABELLEMANIPULATIONSWERT">'Hilfstabellen'!$C$6:$C$15</definedName>
    <definedName name="HILFSTABELLEMEISTERSCHAFTEN">'Hilfstabellen'!$H$6:$I$42</definedName>
    <definedName name="HILFSTABELLEVORTEILE">'Hilfstabellen'!$E$6:$F$40</definedName>
    <definedName name="HML">'Eigenschaften'!$A$28</definedName>
    <definedName name="HOL">'Eigenschaften'!$A$31</definedName>
    <definedName name="HOLZARBEITEN">'GENERIERUNG WERTE'!$W$39</definedName>
    <definedName name="INT">'Eigenschaften'!$A$32</definedName>
    <definedName name="INTUITION">'GENERIERUNG WERTE'!$H$18</definedName>
    <definedName name="JAG">'Eigenschaften'!$A$33</definedName>
    <definedName name="JAGD">'GENERIERUNG WERTE'!$W$40</definedName>
    <definedName name="KET">'Eigenschaften'!$A$34</definedName>
    <definedName name="KETABW">'Eigenschaften'!$A$35</definedName>
    <definedName name="KETTENWAFFEN">'GENERIERUNG WERTE'!$H$30</definedName>
    <definedName name="KETTENWAFFENABWEHR">'GENERIERUNG WERTE'!$M$30</definedName>
    <definedName name="KLI">'Eigenschaften'!$A$36</definedName>
    <definedName name="KLIABW">'Eigenschaften'!$A$37</definedName>
    <definedName name="KLINGENWAFFEN">'GENERIERUNG WERTE'!$H$31</definedName>
    <definedName name="KLINGENWAFFENABWEHR">'GENERIERUNG WERTE'!$M$31</definedName>
    <definedName name="KON">'Eigenschaften'!$A$38</definedName>
    <definedName name="KONSTITUTION">'GENERIERUNG WERTE'!$H$19</definedName>
    <definedName name="KÖRPERLICHERWIDERSTAND">'GENERIERUNG WERTE'!$W$22</definedName>
    <definedName name="KULTUR">'GENERIERUNG WERTE'!$S$8</definedName>
    <definedName name="KULTURLISTE">'Daten'!$A$29:$A$35</definedName>
    <definedName name="KWI">'Eigenschaften'!$A$39</definedName>
    <definedName name="LÄN">'Eigenschaften'!$A$40</definedName>
    <definedName name="LÄNDERUNDVÖLKER">'GENERIERUNG WERTE'!$W$41</definedName>
    <definedName name="LEB">'Eigenschaften'!$A$41</definedName>
    <definedName name="LEBENSPUNKTE">'GENERIERUNG WERTE'!$W$17</definedName>
    <definedName name="LED">'Eigenschaften'!$A$42</definedName>
    <definedName name="LEDERUNDSTOFFE">'GENERIERUNG WERTE'!$W$42</definedName>
    <definedName name="MAGIESCHULEFEUER">'GENERIERUNG WERTE'!$H$46</definedName>
    <definedName name="MAGIESCHULELUFT">'GENERIERUNG WERTE'!$H$47</definedName>
    <definedName name="MAGIESCHULENATUR">'GENERIERUNG WERTE'!$H$48</definedName>
    <definedName name="MAGIESCHULESCHATTEN">'GENERIERUNG WERTE'!$H$49</definedName>
    <definedName name="MAGIESCHULESTÄRKUNG">'GENERIERUNG WERTE'!$H$50</definedName>
    <definedName name="MAGIESCHULEZERSTÖRUNG">'GENERIERUNG WERTE'!$H$51</definedName>
    <definedName name="MALSYMBOL">'Daten'!$B$24</definedName>
    <definedName name="MANIPULATIONATT">'Hilfstabellen'!$B$6</definedName>
    <definedName name="MANIPULATIONEP">'Hilfstabellen'!$B$7</definedName>
    <definedName name="MANIPULATIONFOK">'Hilfstabellen'!$B$8</definedName>
    <definedName name="MANIPULATIONGRÖ">'Hilfstabellen'!$B$11</definedName>
    <definedName name="MANIPULATIONGSW">'Hilfstabellen'!$B$10</definedName>
    <definedName name="MANIPULATIONGWI">'Hilfstabellen'!$B$9</definedName>
    <definedName name="MANIPULATIONKWI">'Hilfstabellen'!$B$12</definedName>
    <definedName name="MANIPULATIONLEB">'Hilfstabellen'!$B$13</definedName>
    <definedName name="MANIPULATIONSPL">'Hilfstabellen'!$B$14</definedName>
    <definedName name="MANIPULATIONSTABELLE">'Daten'!$I$4:$I$44</definedName>
    <definedName name="MANIPULATIONVTD">'Hilfstabellen'!$B$15</definedName>
    <definedName name="MAXIMUMATTRIBUTABSOLUT">'Daten'!$B$12</definedName>
    <definedName name="MAXIMUMATTRIBUTGENERIERUNG">'Daten'!$B$11</definedName>
    <definedName name="MAXIMUMFERTIGKEITABSOLUT">'Daten'!$B$16</definedName>
    <definedName name="MAXIMUMFERTIGKEITGENERIERUNG">'Daten'!$B$15</definedName>
    <definedName name="MEISTERGRADESUMMELINKS">'GENERIERUNG WERTE'!$N$28:$N$51</definedName>
    <definedName name="MEISTERGRADESUMMERECHTS">'GENERIERUNG WERTE'!$X$28:$X$54</definedName>
    <definedName name="MEISTERSCHAFTENSUMMEKOSTEN">'GENERIERUNG MEISTERSCHAFTEN'!$G$7:$G$43</definedName>
    <definedName name="MEISTERSCHAFTPAUSCHALKOSTEN">'Daten'!$B$20</definedName>
    <definedName name="MEISTERSCHAFTSCHWELLSCHRITT">'Daten'!$B$19</definedName>
    <definedName name="MEISTERSCHAFTSCHWELLWERT">'Daten'!$B$18</definedName>
    <definedName name="MEISTERSCHAFTSYMBOL">'Daten'!$B$23</definedName>
    <definedName name="MEISTERSCHAFTTABLEAU">'GENERIERUNG MEISTERSCHAFTEN'!$C$7:$G$43</definedName>
    <definedName name="MET">'Eigenschaften'!$A$49</definedName>
    <definedName name="METALLARBEITEN">'GENERIERUNG WERTE'!$W$43</definedName>
    <definedName name="MFE">'Eigenschaften'!$A$43</definedName>
    <definedName name="MINIMUMATTRIBUT">'Daten'!$B$10</definedName>
    <definedName name="MINIMUMFERTIGKEIT">'Daten'!$B$14</definedName>
    <definedName name="MLU">'Eigenschaften'!$A$44</definedName>
    <definedName name="MNA">'Eigenschaften'!$A$45</definedName>
    <definedName name="MSC">'Eigenschaften'!$A$46</definedName>
    <definedName name="MST">'Eigenschaften'!$A$47</definedName>
    <definedName name="MYS">'Eigenschaften'!$A$50</definedName>
    <definedName name="MYSTIK">'GENERIERUNG WERTE'!$H$20</definedName>
    <definedName name="MZE">'Eigenschaften'!$A$48</definedName>
    <definedName name="NAT">'Eigenschaften'!$A$51</definedName>
    <definedName name="NATURKUNDE">'GENERIERUNG WERTE'!$W$44</definedName>
    <definedName name="RAS">'Eigenschaften'!$A$52</definedName>
    <definedName name="RASSE">'GENERIERUNG WERTE'!$F$9</definedName>
    <definedName name="RASSELISTE">'Daten'!$D$5:$D$9</definedName>
    <definedName name="RASSETABLEAU">'Daten'!$D$4:$G$9</definedName>
    <definedName name="RED">'Eigenschaften'!$A$53</definedName>
    <definedName name="REDEKUNST">'GENERIERUNG WERTE'!$W$45</definedName>
    <definedName name="RÜSTUNGSABWEHRSYMBOL">'Daten'!$B$26</definedName>
    <definedName name="SCH">'Eigenschaften'!$A$56</definedName>
    <definedName name="SCHLEUDERWAFFEN">'GENERIERUNG WERTE'!$H$34</definedName>
    <definedName name="SCHLÖSSERUNDFALLEN">'GENERIERUNG WERTE'!$W$46</definedName>
    <definedName name="SCHUSSWAFFEN">'GENERIERUNG WERTE'!$H$35</definedName>
    <definedName name="SCHWIMMEN">'GENERIERUNG WERTE'!$W$47</definedName>
    <definedName name="SEE">'Eigenschaften'!$A$58</definedName>
    <definedName name="SEEFAHRT">'GENERIERUNG WERTE'!$W$48</definedName>
    <definedName name="SITUATIONSBONUSSYMBOL">'Daten'!$B$25</definedName>
    <definedName name="SLE">'Eigenschaften'!$A$54</definedName>
    <definedName name="SPL">'Eigenschaften'!$A$59</definedName>
    <definedName name="SPLITTERFÄHIGKEIT">'GENERIERUNG WERTE'!$S$10</definedName>
    <definedName name="SPLITTERFÄHIGKEITLISTE">'Daten'!$A$47:$A$52</definedName>
    <definedName name="SPLITTERPUNKTE">'GENERIERUNG WERTE'!$W$19</definedName>
    <definedName name="SPP">'GENERIERUNG WERTE'!$W$19</definedName>
    <definedName name="STA">'Eigenschaften'!$A$60</definedName>
    <definedName name="STÄ">'Eigenschaften'!$A$62</definedName>
    <definedName name="STAABW">'Eigenschaften'!$A$61</definedName>
    <definedName name="STANGENWAFFEN">'GENERIERUNG WERTE'!$H$32</definedName>
    <definedName name="STANGENWAFFENABWEHR">'GENERIERUNG WERTE'!$M$32</definedName>
    <definedName name="STÄRKE">'GENERIERUNG WERTE'!$H$21</definedName>
    <definedName name="STR">'Eigenschaften'!$A$63</definedName>
    <definedName name="STRAßENKUNDE">'GENERIERUNG WERTE'!$W$49</definedName>
    <definedName name="SUF">'Eigenschaften'!$A$55</definedName>
    <definedName name="SWI">'Eigenschaften'!$A$57</definedName>
    <definedName name="TIE">'Eigenschaften'!$A$64</definedName>
    <definedName name="TIERFÜHRUNG">'GENERIERUNG WERTE'!$W$50</definedName>
    <definedName name="ÜBE">'Eigenschaften'!$A$65</definedName>
    <definedName name="ÜBERLEBEN">'GENERIERUNG WERTE'!$W$51</definedName>
    <definedName name="VER">'Eigenschaften'!$A$67</definedName>
    <definedName name="VERHANDELN">'GENERIERUNG WERTE'!$W$52</definedName>
    <definedName name="Version">'Einleitung'!$C$2</definedName>
    <definedName name="VERSTAND">'GENERIERUNG WERTE'!$H$22</definedName>
    <definedName name="VERTEIDIGUNG">'GENERIERUNG WERTE'!$W$21</definedName>
    <definedName name="VHD">'Eigenschaften'!$A$66</definedName>
    <definedName name="VORTEILEIGENSCHAFTTABLEAU">'Vorteile-Eigenschaften'!$A$4:$F$43</definedName>
    <definedName name="VORTEILESUMMEKOSTEN">'GENERIERUNG VORTEILE'!$G$7:$G$41</definedName>
    <definedName name="VORTEILLISTETITEL">'GENERIERUNG VORTEILE'!$C$7:$C$41</definedName>
    <definedName name="VORTEILPAUSCHALKOSTEN">'Daten'!$B$21</definedName>
    <definedName name="VORTEILTABLEAU">'GENERIERUNG VORTEILE'!$C$7:$G$41</definedName>
    <definedName name="VST">'Eigenschaften'!$A$67</definedName>
    <definedName name="VTD">'Eigenschaften'!$A$68</definedName>
    <definedName name="WAH">'Eigenschaften'!$A$69</definedName>
    <definedName name="WAHRNEHMUNG">'GENERIERUNG WERTE'!$W$54</definedName>
    <definedName name="WIL">'Eigenschaften'!$A$70</definedName>
    <definedName name="WILLENSKRAFT">'GENERIERUNG WERTE'!$H$23</definedName>
    <definedName name="WIS">'Eigenschaften'!$A$71</definedName>
    <definedName name="WISSENSCHAFT">'GENERIERUNG WERTE'!$W$53</definedName>
    <definedName name="WUNDSTUFETABLEAU">'Daten'!$D$31:$E$35</definedName>
    <definedName name="WUR">'Eigenschaften'!$A$72</definedName>
    <definedName name="WURFWAFFEN">'GENERIERUNG WERTE'!$H$36</definedName>
    <definedName name="Z_0D253875_22D2_4AEA_ACC2_DB8C1838E2EC_.wvu.Rows" localSheetId="5" hidden="1">'Archetypen'!$38:$39,'Archetypen'!$53:$54,'Archetypen'!$60:$64,'Archetypen'!$68:$69,'Archetypen'!$73:$74</definedName>
    <definedName name="Z_0D253875_22D2_4AEA_ACC2_DB8C1838E2EC_.wvu.Rows" localSheetId="2" hidden="1">'GENERIERUNG WERTE'!$44:$45,'GENERIERUNG WERTE'!$56:$57,'GENERIERUNG WERTE'!$64:$68,'GENERIERUNG WERTE'!$72:$73,'GENERIERUNG WERTE'!$77:$78</definedName>
    <definedName name="ZÄH">'Eigenschaften'!$A$73</definedName>
    <definedName name="ZÄHABW">'Eigenschaften'!$A$74</definedName>
    <definedName name="ZÄHIGKEIT">'GENERIERUNG WERTE'!$H$41</definedName>
    <definedName name="ZÄHIGKEITABWEHR">'GENERIERUNG WERTE'!$M$41</definedName>
  </definedNames>
  <calcPr fullCalcOnLoad="1"/>
</workbook>
</file>

<file path=xl/sharedStrings.xml><?xml version="1.0" encoding="utf-8"?>
<sst xmlns="http://schemas.openxmlformats.org/spreadsheetml/2006/main" count="981" uniqueCount="545">
  <si>
    <t>Der Angriff geht gegen den Körperlichen Widerstand statt gegen die Verteidigung. Ist er erfolgreich, erleidet das Opfer zwar nur halben Schaden, stürzt aber und verliert 2 Ticks.</t>
  </si>
  <si>
    <t>Der Verteidigungsbonus gegnerischer Schilde wird ignoriert.</t>
  </si>
  <si>
    <t>Der Angriff geht gegen den körperlichen Widerstand statt gegen die Verteidigung. Ist er erfolgreich, erleidet das Opfer zwar nur halben Schaden, stürzt aber und verliert 2 Ticks.</t>
  </si>
  <si>
    <t>Statt gegen die Verteidigung wird diese Attacke gegen den geistigen Widerstand gewürfelt. Der Angriff richtet keinen Schaden an, kann jedoch nicht pariert werden und senkt die Abwehr des Gegners für den nächsten Angriff irgendeines Angreifers um 3. Das Manöver ist mit sich selbst kumulativ.</t>
  </si>
  <si>
    <t>Der Verteidigungswert des Abenteurers erhöht sich um 2, sofern er sich des Angriff es bewusst ist und er ausreichend Platz besitzt.</t>
  </si>
  <si>
    <t>Für die Bestimmung der Initiative gilt die Intuition des Abenteurers als um 3 Punkte erhöht.</t>
  </si>
  <si>
    <t>Der Alchemist kann 4 Tränke in der Hälfte der normalerweise nötigen Zeit herstellen.</t>
  </si>
  <si>
    <t>Der Alchemist kann alle im Schnellstarter aufgeführten Tränke herstellen.</t>
  </si>
  <si>
    <t>Nachdem er einen Gegner für 10 Ticks beobachtet hat, kann der Charakter eine Probe gegen dessen geistige Verteidigung ablegen. Ist er erfolgreich, erhält er gegen diesen Gegner für den Rest des Kampfes einen Bonus von +2 auf Angriff oder Verteidigung.</t>
  </si>
  <si>
    <t>Der Charakter kann sich auch unter schwierigen Umständen auf seine Zaubersprüche konzentrieren. Er erhält einen Bonus von +3 auf Entschlossenheit-Proben zur Abwehr von Störungen.</t>
  </si>
  <si>
    <t>Der Heiler kann den Zustand eines Patienten besonders gut einschätzen. Nimmt er sich 5 Minuten Zeit, um den Patienten zunächst zu untersuchen, erhält er bei der Behandlung einen Bonus von +2.</t>
  </si>
  <si>
    <t>Wenn der Heiler einen Patienten behandelt, erhält dieser in der nächsten Nacht 2 zusätzliche Lebenspunkte zurück.</t>
  </si>
  <si>
    <t>Der Heiler kann Schwerverletzte vom Rand des Todes zurückholen. Hierzu muss er eine Heilkunde-Probe ablegen, Schwierigkeit 18 + Anzahl der Schadenspunkte, die sein Patient unter 0 liegt. Bei Gelingen besitzt sein Patient wieder 1 Punkt in der letzten Gesundheitsstufe.</t>
  </si>
  <si>
    <t>Die Preise von Händlern sind für den Charakter um 10% gesenkt. Wenn er selbst etwas verkauft, erreicht er 10% höhere Preise.</t>
  </si>
  <si>
    <t>Der Abenteurer nutzt seine Kenntnisse über die Unterwelt. Wenn er es mit zwielichtigen Personen zu tun hat, erhält der Abenteurer einen Bonus von +2 auf Redekunst.</t>
  </si>
  <si>
    <t>Der Abenteurer erhält einen Bonus von +3, wenn er Straßenkunde einsetzt, um Gerüchte aufzuschnappen.</t>
  </si>
  <si>
    <t>Der Abenteurer verwendet eine Aktion (10 Ticks), um eine Probe auf Tierführung gegen Schwierigkeit 20 gegen ein anwesendes Tier zu würfeln. Gelingt dies, erhält er einen Bonus von +2 auf Proben zum Besänftigen des Tieres und auf seine Verteidigung gegen dieses.</t>
  </si>
  <si>
    <t>Der Abenteurer kennt sich gut in einer bestimmten und festgelegten Art von Gelände (Wald, Gebirge, Wüste etc.) aus. Er erhält einen Bonus von +3 auf alle passenden Proben. Die Meisterschaft kann mehrfach gewählt werden (jedes Mal ein neues Gelände).</t>
  </si>
  <si>
    <t>Die Reisegeschwindigkeit des Abenteurers erhöht sich außerhalb von ausgebauten Straßen um 20%. Dies gilt auch für eine Gruppe, die er anführt.</t>
  </si>
  <si>
    <t>Der Abenteurer verfügt über einen Sinn für Gefahren. Wenn ihm eine Wahrnehmung-Probe gegen Schwierigkeit 25 gelingt, kann er bei einem Hinterhalt rechtzeitig reagieren, ohne überrascht zu sein.</t>
  </si>
  <si>
    <t>Der Abenteurer bemerkt kleinste Veränderungen in seiner Umgebung sehr schnell. Er erhält einen Bonus von +2 auf passende Proben.</t>
  </si>
  <si>
    <t>Der Charakter ist es gewohnt, lange Strecken zu laufen, zu reiten oder zu schwimmen. Misslingt ihm eine Zähigkeit- Probe, bei der die Ausdauer gefragt ist, kann er sie ein weiteres Mal versuchen. Der zweite Versuch gilt in jedem Fall.</t>
  </si>
  <si>
    <t>Abzüge, die durch das Tragen einer Rüstung entstehen, werden um einen Punkt reduziert.</t>
  </si>
  <si>
    <t>Der Charakter ist außerordentlich resistent gegen die Wirkung von Alkohol. Wenn er eine Zähigkeit-Probe gegen Trunkenheit durchführen muss, zählt sein Ergebnis immer um einen Erfolgsgrad höher als gewürfelt.</t>
  </si>
  <si>
    <t>Der Feuerzauberer ist weniger empfindlich gegen Feuer. Jeglicher Feuerschaden wird um 2 Punkte reduziert.</t>
  </si>
  <si>
    <t>Von dem Feuerzauberer beschworenes Feuer brennt besonders heiß. Alle Feuerzauber, die direkten Schaden anrichten, erhalten einen Schadensbonus von +1.</t>
  </si>
  <si>
    <t>Die Reichweite aller Zerstörungszauber, die auf Entfernung zu wirken sind, erhöht sich um 20 % (mindestens um 2 Meter).</t>
  </si>
  <si>
    <t>Von den Monden geküsst</t>
  </si>
  <si>
    <t>Dickschädel</t>
  </si>
  <si>
    <t>Attraktivität</t>
  </si>
  <si>
    <t>Stand</t>
  </si>
  <si>
    <t>Schnelle Heilung</t>
  </si>
  <si>
    <t>Ehrenkodex</t>
  </si>
  <si>
    <t>Der Charakter verfügt über zusätzliche Splitterpunkte (bereits eingerechnet).</t>
  </si>
  <si>
    <t>Der Charakter erhält einen Bonus von +2 auf passende Proben in gesellschaftlichem Umfeld.</t>
  </si>
  <si>
    <t>Der Charakter heilt jede Nacht einen zusätzlichen W6 Schadenspunkte.</t>
  </si>
  <si>
    <t>Der Charakter erhält einen Bonus von +2 auf seinen geistigen Widerstand, seine Entschlossenheit und seine Zähigkeit, wenn dies der Erfüllung seiner ritterlichen Tugenden (Ehrenhaftigkeit, Schutz der Wehrlosen) dient.</t>
  </si>
  <si>
    <t>Der Charakter kann 1 Splitterpunkt ausgeben, um den Zeitraum einer Heilung zu halbieren (er kann also in einer Nacht zweimal Schaden regenerieren).</t>
  </si>
  <si>
    <t>Der Charakter entstammt einem Adelshaus. Sein Wort gilt dadurch mehr als das „gemeiner“ Leute.</t>
  </si>
  <si>
    <t>Flink</t>
  </si>
  <si>
    <t>Gnomennase</t>
  </si>
  <si>
    <t>Erbe der Feenwelt</t>
  </si>
  <si>
    <t>Gesellig</t>
  </si>
  <si>
    <t>Wandelndes Labor</t>
  </si>
  <si>
    <t>Kontakte</t>
  </si>
  <si>
    <t>Wie alle Gnome kann sich auch dieser Charakter in den Anderswelten orientieren, ohne Abzüge zu erleiden.</t>
  </si>
  <si>
    <t>Der Charakter erhält einen Bonus von +3 auf alle Wahrnehmung- Proben, die den Geruchssinn betreff en.</t>
  </si>
  <si>
    <t>Der Charakter erhält einen Bonus von +2 auf passende Proben im gesellschaftlichen Umfeld.</t>
  </si>
  <si>
    <t>Der Charakter besitzt eine alchemistische Ausstattung und 1 Exemplar jedes alchemistischen Produkts dieses Schnellstarters</t>
  </si>
  <si>
    <t>Des Charakters Geschwindigkeit ist erhöht (bereits eingerechnet).</t>
  </si>
  <si>
    <t>Der Charakter ist schwerer zu beeinflussen (erhöhter geistiger Widerstand, bereits eingerechnet)</t>
  </si>
  <si>
    <t>Splitter der Eingebung</t>
  </si>
  <si>
    <t>Der Charakter einem Risikowurf einen nicht genutzten Würfel aufzubewahren und diesen bei der nächsten Probe statt eines gewürfelten Würfels zu verwenden.</t>
  </si>
  <si>
    <t>Der Charakter  kann 1 Splitterpunkt ausgeben, um bei einem Risikowurf den zweitniedrigsten Würfel neu zu würfeln.</t>
  </si>
  <si>
    <t>Der Charakter kann 1 Splitterpunkt ausgeben, um 5 Fokuspunkte zurückzuerhalten (egal ob erschöpft oder verzehrt).</t>
  </si>
  <si>
    <t>Der Charakter kann 1 Splitterpunkt ausgeben, um für 60 Ticks alle aktiven Handlungen 1 Tick schneller auszuführen.</t>
  </si>
  <si>
    <t>Scharfes Gehör</t>
  </si>
  <si>
    <t>Scharfe Augen</t>
  </si>
  <si>
    <t>Erhöhter Fokus</t>
  </si>
  <si>
    <t>Erhöhte Fokusregeneration</t>
  </si>
  <si>
    <t>Schöne Stimme</t>
  </si>
  <si>
    <t>Zwergische Zähigkeit</t>
  </si>
  <si>
    <t>Zwergenmagen</t>
  </si>
  <si>
    <t>Angesehener Priester</t>
  </si>
  <si>
    <t>Träger des Siegels</t>
  </si>
  <si>
    <t>Langlebigkeit</t>
  </si>
  <si>
    <t>Kind der Dämmerung</t>
  </si>
  <si>
    <t>Albenohren</t>
  </si>
  <si>
    <t>Balance</t>
  </si>
  <si>
    <t>Wasserelementar</t>
  </si>
  <si>
    <t>Der Charakter erhält auf Wahrnehmung- Proben, die ihr Gehör betreffen, einen Bonus von +3.</t>
  </si>
  <si>
    <t>Der Charakter erhält auf Wahrnehmung- Proben, die ihre Augen, betreffen einen Bonus von +3.</t>
  </si>
  <si>
    <t>Der Charakter verfügt über zusätzlichen Fokus (bereits eingerechnet).</t>
  </si>
  <si>
    <t>Der Charakter benötigt nur 15 Minuten (anstatt 30), um erschöpften Fokus zu regenerieren.</t>
  </si>
  <si>
    <t>Der Charakter hat eine ausgesprochen schöne Stimme. Er erhält einen Bonus von +2 auf Proben, die mit Gesang oder Erzählung zu tun haben.</t>
  </si>
  <si>
    <t>Der Charakter verfügt über zusätzliche Lebenspunkte (bereits eingerechnet).</t>
  </si>
  <si>
    <t>Der Charakter kann auch verdorbene Nahrung verdauen. Sein körperlicher Widerstand gilt hierfür als um 8 Punkte erhöht. Denselben Bonus erhält er auf Zähigkeit-Proben im entsprechenden Kontext.</t>
  </si>
  <si>
    <t>Der Charakter erhält einen Bonus von +2 auf passende Proben in einem gesellschaftlichen Umfeld.</t>
  </si>
  <si>
    <t>Das Siegel des Charakters verleiht ihm einen Bonus von +2 auf alle Proben auf Feuermagie (bereits eingerechnet).</t>
  </si>
  <si>
    <t>Der Charakter altert langsamer.</t>
  </si>
  <si>
    <t>Der Charakter erhält keine Abzüge durch schlechte Lichtverhältnisse, solange es keine völlige Dunkelheit ist.</t>
  </si>
  <si>
    <t>Der Charakter erhält einen Bonus von +3 auf Wahrnehmung- Proben, die das Gehör betreffen.</t>
  </si>
  <si>
    <t>Der Charakter erhält einen Bonus von +2 auf alle Fertigkeitsproben, um die Balance zu halten.</t>
  </si>
  <si>
    <t>Das Szepter des Charakters verleiht ihm einen Bonus von +1 auf alle Proben auf Feuermagie (bereits eingerechnet).</t>
  </si>
  <si>
    <t>Das Fell des Charakters reduziert jeden Schaden, den er durch körperliche Angriffe erhält, um 1.</t>
  </si>
  <si>
    <t>Blitzreflexe</t>
  </si>
  <si>
    <t>Effizienz</t>
  </si>
  <si>
    <t>Handgemenge</t>
  </si>
  <si>
    <t>Hiebwaffen</t>
  </si>
  <si>
    <t>Kettenwaffen</t>
  </si>
  <si>
    <t>Klingenwaffen</t>
  </si>
  <si>
    <t>Stangenwaffen</t>
  </si>
  <si>
    <t>Geschütze</t>
  </si>
  <si>
    <t>Schleuderwaffen</t>
  </si>
  <si>
    <t>Schusswaffen</t>
  </si>
  <si>
    <t>Wurfwaffen</t>
  </si>
  <si>
    <t>Akrobatik</t>
  </si>
  <si>
    <t>Athletik</t>
  </si>
  <si>
    <t>Schwimmen</t>
  </si>
  <si>
    <t>Zähigkeit</t>
  </si>
  <si>
    <t>Arkane Kunde</t>
  </si>
  <si>
    <t>Geschichte und Mythen</t>
  </si>
  <si>
    <t>Länder und Völker</t>
  </si>
  <si>
    <t>Naturkunde</t>
  </si>
  <si>
    <t>Wissenschaft</t>
  </si>
  <si>
    <t>Fingerfertigkeit</t>
  </si>
  <si>
    <t>Heimlichkeit</t>
  </si>
  <si>
    <t>Schlösser und Fallen</t>
  </si>
  <si>
    <t>Straßenkunde</t>
  </si>
  <si>
    <t>Alchemie</t>
  </si>
  <si>
    <t>Edelhandwerk</t>
  </si>
  <si>
    <t>Heilkunde</t>
  </si>
  <si>
    <t>Holzarbeiten</t>
  </si>
  <si>
    <t>Leder und Stoffe</t>
  </si>
  <si>
    <t>Metallarbeiten</t>
  </si>
  <si>
    <t>Anführen</t>
  </si>
  <si>
    <t>Darbietung</t>
  </si>
  <si>
    <t>Empathie</t>
  </si>
  <si>
    <t>Entschlossenheit</t>
  </si>
  <si>
    <t>Redekunst</t>
  </si>
  <si>
    <t>Verhandeln</t>
  </si>
  <si>
    <t>Jagd</t>
  </si>
  <si>
    <t>Seefahrt</t>
  </si>
  <si>
    <t>Tierführung</t>
  </si>
  <si>
    <t>Überleben</t>
  </si>
  <si>
    <t>Wahrnehmung</t>
  </si>
  <si>
    <t>Ausstrahlung</t>
  </si>
  <si>
    <t>Beweglichkeit</t>
  </si>
  <si>
    <t>Geschicklichkeit</t>
  </si>
  <si>
    <t>Intuition</t>
  </si>
  <si>
    <t>Kostitution</t>
  </si>
  <si>
    <t>Mystik</t>
  </si>
  <si>
    <t>Verstand</t>
  </si>
  <si>
    <t>Willenskraft</t>
  </si>
  <si>
    <t>Größe</t>
  </si>
  <si>
    <t>Geschwindigkeit</t>
  </si>
  <si>
    <t>Verteidigung</t>
  </si>
  <si>
    <t>Körperlicher Widerstand</t>
  </si>
  <si>
    <t>Geistiger Widerstand</t>
  </si>
  <si>
    <t>Attribute</t>
  </si>
  <si>
    <t>Abgeleitete Werte</t>
  </si>
  <si>
    <t>Fertigkeiten</t>
  </si>
  <si>
    <t>Fertigkeit</t>
  </si>
  <si>
    <t>Attribut</t>
  </si>
  <si>
    <t>Akronym</t>
  </si>
  <si>
    <t>AUS</t>
  </si>
  <si>
    <t>BEW</t>
  </si>
  <si>
    <t>GES</t>
  </si>
  <si>
    <t>INT</t>
  </si>
  <si>
    <t>KON</t>
  </si>
  <si>
    <t>MYS</t>
  </si>
  <si>
    <t>STÄ</t>
  </si>
  <si>
    <t>VER</t>
  </si>
  <si>
    <t>WIL</t>
  </si>
  <si>
    <t>Nahkampf</t>
  </si>
  <si>
    <t>Fernkampf</t>
  </si>
  <si>
    <t>Körperbeherrschung</t>
  </si>
  <si>
    <t>Bildung</t>
  </si>
  <si>
    <t>Gaunerei</t>
  </si>
  <si>
    <t>Herstellung</t>
  </si>
  <si>
    <t>Sozial</t>
  </si>
  <si>
    <t>Wildnis</t>
  </si>
  <si>
    <t>Gruppe</t>
  </si>
  <si>
    <t>ATT 1</t>
  </si>
  <si>
    <t>ATT 2</t>
  </si>
  <si>
    <t>GUM</t>
  </si>
  <si>
    <t>HML</t>
  </si>
  <si>
    <t>SLE</t>
  </si>
  <si>
    <t>SWI</t>
  </si>
  <si>
    <t>SUF</t>
  </si>
  <si>
    <t>GTZ</t>
  </si>
  <si>
    <t>VHD</t>
  </si>
  <si>
    <t>Zauber</t>
  </si>
  <si>
    <t>Lebenspunkte</t>
  </si>
  <si>
    <t>Unverletzt</t>
  </si>
  <si>
    <t>Angeschlagen</t>
  </si>
  <si>
    <t>Leicht verletzt</t>
  </si>
  <si>
    <t>Schwer verletzt</t>
  </si>
  <si>
    <t>Todgeweiht</t>
  </si>
  <si>
    <t>Fokus</t>
  </si>
  <si>
    <t>Mensch</t>
  </si>
  <si>
    <t>Alb</t>
  </si>
  <si>
    <t>Gnom</t>
  </si>
  <si>
    <t>Zwerg</t>
  </si>
  <si>
    <t>Varg</t>
  </si>
  <si>
    <t>Rasse</t>
  </si>
  <si>
    <t>Mod. Größe</t>
  </si>
  <si>
    <t>Mod. Vert.</t>
  </si>
  <si>
    <t>Basisgröße</t>
  </si>
  <si>
    <t>Attribut +1</t>
  </si>
  <si>
    <t>Stärke</t>
  </si>
  <si>
    <t>Basisdaten</t>
  </si>
  <si>
    <t>Name</t>
  </si>
  <si>
    <t>Kultur</t>
  </si>
  <si>
    <t>Ausbildung</t>
  </si>
  <si>
    <t>Fixbonus Verteidigung</t>
  </si>
  <si>
    <t>Fixbonus Körperlicher Widerstand</t>
  </si>
  <si>
    <t>Fixbonus Geistiger Widerstand</t>
  </si>
  <si>
    <t>Fixwerte</t>
  </si>
  <si>
    <t>Fixbonus Splitterpunkte</t>
  </si>
  <si>
    <t>Splitterpunkte</t>
  </si>
  <si>
    <t>Magieschule Feuer</t>
  </si>
  <si>
    <t>Magieschule Stärkung</t>
  </si>
  <si>
    <t>Magieschule Zerstörung</t>
  </si>
  <si>
    <t>Magieschule Luft</t>
  </si>
  <si>
    <t>Magieschule Natur</t>
  </si>
  <si>
    <t>Magieschule Schatten</t>
  </si>
  <si>
    <t>MZE</t>
  </si>
  <si>
    <t>MST</t>
  </si>
  <si>
    <t>MFE</t>
  </si>
  <si>
    <t>MLU</t>
  </si>
  <si>
    <t>MNA</t>
  </si>
  <si>
    <t>MSC</t>
  </si>
  <si>
    <t>SSR</t>
  </si>
  <si>
    <t>Minimum Attribut</t>
  </si>
  <si>
    <t>Minimum Fertigkeit</t>
  </si>
  <si>
    <t>Arrou</t>
  </si>
  <si>
    <t>Tarr</t>
  </si>
  <si>
    <t>Selenia</t>
  </si>
  <si>
    <t>Keshabid</t>
  </si>
  <si>
    <t>Mertalischer Städtebund</t>
  </si>
  <si>
    <t>Ashurmazaan</t>
  </si>
  <si>
    <t>Furgand</t>
  </si>
  <si>
    <t>Albischer Seebund</t>
  </si>
  <si>
    <t>Sandläufer</t>
  </si>
  <si>
    <t>Ritter</t>
  </si>
  <si>
    <t>Alchemist</t>
  </si>
  <si>
    <t>Protectorin</t>
  </si>
  <si>
    <t>Feuermagierin</t>
  </si>
  <si>
    <t>Priester des Kashrok</t>
  </si>
  <si>
    <t>Klingentänzerin</t>
  </si>
  <si>
    <t>Freundschaft der Trabanten</t>
  </si>
  <si>
    <t>Segen der Mondkraft</t>
  </si>
  <si>
    <t>Gunst des reichen Mannes</t>
  </si>
  <si>
    <t>Der Spieler</t>
  </si>
  <si>
    <t>Der Blitz</t>
  </si>
  <si>
    <t>Natürliche Rüstung</t>
  </si>
  <si>
    <t>Vorteil</t>
  </si>
  <si>
    <t>Beschreibung</t>
  </si>
  <si>
    <t>Hetzjäger</t>
  </si>
  <si>
    <t>Der Charakter kann besonders lange und ausdauernd laufen, ohne dabei erschöpft zu werden, auch nach langer Reise.</t>
  </si>
  <si>
    <t>Spürnase</t>
  </si>
  <si>
    <t>Scharfe Ohren</t>
  </si>
  <si>
    <t>Ein Varg hat einen sehr feinen Geruchssinn. Er erhält einen Bonus von +3 auf passende Wahrnehmung-Proben.</t>
  </si>
  <si>
    <t>Richtungssinn</t>
  </si>
  <si>
    <t>Der Charakter hat einen Instinkt für Richtungen. Er erhält einen Bonus von +3 auf Überleben-Proben zur Orientierung.</t>
  </si>
  <si>
    <t>Giftresistenz</t>
  </si>
  <si>
    <t>Gifte machen dem Charakter nicht viel aus. Er erhält einen Bonus von +3 auf seinen körperlichen Widerstand gegen Gifte und auf Zähigkeit-Proben, um Gift zu widerstehen.</t>
  </si>
  <si>
    <t>Tierfreund</t>
  </si>
  <si>
    <t>Der Charakter versteht sich gut mit Tieren. Er erhält einen Bonus von +3 auf Proben zum (friedlichen) Umgang mit Tieren.</t>
  </si>
  <si>
    <t>Treuer Begleiter</t>
  </si>
  <si>
    <t>Der Charakter wird von einem treuen Tier begleitet, das ihm über den Zauber Tiersinne häufig seine Augen leiht.</t>
  </si>
  <si>
    <t>Der Charakter kann 1 Splitterpunkt ausgeben, um für eine Probe einen Fertigkeitswert als Bonus an einen anderen Spielercharakter zu verleihen.</t>
  </si>
  <si>
    <t>Splitterfähigkeit</t>
  </si>
  <si>
    <t>Meisterschaft</t>
  </si>
  <si>
    <t>Akrobatik wird benötigt, wenn ein Abenteurer etwa über einen schmalen Steg balancieren oder einen Sturz abfedern muss.</t>
  </si>
  <si>
    <t>Mit Alchemie können Tränke und Elixiere hergestellt und eingeschätzt werden.</t>
  </si>
  <si>
    <t>Anführen beschreibt die Fähigkeit, Taktik und Strategie vorteilhaft einzusetzen.</t>
  </si>
  <si>
    <t>Arkane Kunde wird benötigt, wenn magische Phänomene eingeschätzt und beurteilt werden sollen.</t>
  </si>
  <si>
    <t>Athletik umfasst die meisten körperlichen Aktivitäten wie Klettern, Laufen, Schwimmen und Springen.</t>
  </si>
  <si>
    <t>Empathie wird eingesetzt, um andere Personen einzuschätzen.</t>
  </si>
  <si>
    <t>Mit Entschlossenheit kann man geistigen Beeinflussungen und Versuchungen widerstehen.</t>
  </si>
  <si>
    <t>Fingerfertigkeit ist die Fähigkeit, Taschenspielertricks aufzuführen oder andere zu bestehlen.</t>
  </si>
  <si>
    <t>Geschichte und Mythen wird benötigt, wenn Wissen über historische Ereignisse und Legenden gefragt ist.</t>
  </si>
  <si>
    <t>Mit Heilkunde kann man Wunden, Krankheiten und Gifte versorgen.</t>
  </si>
  <si>
    <t>Heimlichkeit beschreibt, wie gut ein Abenteurer schleichen, sich verbergen und andere ungesehen verfolgen kann.</t>
  </si>
  <si>
    <t>Naturkunde ist das Wissen um die Tier und Pflanzenwelt.</t>
  </si>
  <si>
    <t>Redekunst wird benötigt, wann immer es darum geht, andere zu etwas zu überreden oder ihnen etwas vorzulügen.</t>
  </si>
  <si>
    <t>Mit Schlösser und Fallen können Schlösser geknackt und Fallen entschärft werden.</t>
  </si>
  <si>
    <t>Wer einen hohen Wert in Straßenkunde besitzt, kennt sich in Städten aus und kommt schnell an Informationen.</t>
  </si>
  <si>
    <t>Tierführung wird benötigt, wenn es darum geht, auf einem Tier zu reiten oder es abzurichten.</t>
  </si>
  <si>
    <t>Überleben beschreibt die Fähigkeit, sich in der Wildnis zurechtzufinden, sich zu orientieren, Lagerplätze zu finden und Spuren zu lesen.</t>
  </si>
  <si>
    <t>Wahrnehmung ist die Sinnesschärfe eines Charakters und wird eingesetzt, um verborgene Dinge zu erkennen.</t>
  </si>
  <si>
    <t>Mit Zähigkeit kann man Giften, Krankheiten und körperlichen Beeinflussungen widerstehen.</t>
  </si>
  <si>
    <t>Wurfwaffen sind Wurfdolche, -messer und -äxte, aber auch geworfene Speere.</t>
  </si>
  <si>
    <t>Stangenwaffen ist die Fähigkeit, Speere und andere lange Waffen zu führen.</t>
  </si>
  <si>
    <t>Unter Kettenwaffen fallen etwa Morgensterne, aber auch exotischere Waffen wie die albische Kettensichel.</t>
  </si>
  <si>
    <t>Klingenwaffen beschreibt den Umgang mit Dolchen, Schwertern, Säbeln oder Zweihandschwertern.</t>
  </si>
  <si>
    <t>Hiebwaffen ist die Fähigkeit, mit Äxten, Keulen, Streitkolben und anderen Wuchtwaffen umzugehen.</t>
  </si>
  <si>
    <t>Handgemenge wird eingesetzt, um unbewaffnet zu kämpfen.</t>
  </si>
  <si>
    <t>Feuermagie lässt ihren Beherrscher Flammen erschaff en und manipulieren.</t>
  </si>
  <si>
    <t>Mit Luftmagie können die Winde dem Willen des Zaubernden unterworfen werden.</t>
  </si>
  <si>
    <t>Naturmagie erlaubt die Manipulation und Verzauberung von Tieren und Pflanzen.</t>
  </si>
  <si>
    <t>Schattenmagie gibt dem Zauberer Macht über die Dunkelheit.</t>
  </si>
  <si>
    <t>Mit Stärkungsmagie kann ein Zauberer die Fähigkeit von sich oder anderen verbessern.</t>
  </si>
  <si>
    <t>Zerstörungsmagie erlaubt es, Personen oder Gegenstände zu schädigen.</t>
  </si>
  <si>
    <t>Starker Schildarm</t>
  </si>
  <si>
    <t>Kampf Allgemein</t>
  </si>
  <si>
    <t>Verteidiger</t>
  </si>
  <si>
    <t>Vorstürmen</t>
  </si>
  <si>
    <t>Schmetterschlag</t>
  </si>
  <si>
    <t>Umreißen</t>
  </si>
  <si>
    <t>Schild umschlagen</t>
  </si>
  <si>
    <t>Verwirren</t>
  </si>
  <si>
    <t>Ausweichen</t>
  </si>
  <si>
    <t>Geselle</t>
  </si>
  <si>
    <t>Sammeln</t>
  </si>
  <si>
    <t>Arkane Verteidigung</t>
  </si>
  <si>
    <t>Artefaktkunde</t>
  </si>
  <si>
    <t>Gegner durchschauen</t>
  </si>
  <si>
    <t>Eiserner Wille</t>
  </si>
  <si>
    <t>Diagnose</t>
  </si>
  <si>
    <t>Heilung fördern</t>
  </si>
  <si>
    <t>Lebensretter</t>
  </si>
  <si>
    <t>Durch die Gassen</t>
  </si>
  <si>
    <t>Durch die Wildnis</t>
  </si>
  <si>
    <t>Jäger</t>
  </si>
  <si>
    <t>Feilscher</t>
  </si>
  <si>
    <t>Der richtige Ton</t>
  </si>
  <si>
    <t>Gerüchte</t>
  </si>
  <si>
    <t>Tier einschätzen</t>
  </si>
  <si>
    <t>Geländekunde</t>
  </si>
  <si>
    <t>Wildnisläufer</t>
  </si>
  <si>
    <t>Unterschwellige Warnung</t>
  </si>
  <si>
    <t>Veränderungen wahrnehmen</t>
  </si>
  <si>
    <t>Ausdauernd</t>
  </si>
  <si>
    <t>Rüstungsträger</t>
  </si>
  <si>
    <t>Trinkfest</t>
  </si>
  <si>
    <t>Feuerresistenz</t>
  </si>
  <si>
    <t>Flammenherz</t>
  </si>
  <si>
    <t>Fernzauberer</t>
  </si>
  <si>
    <t>Summe Fertigkeitspunkte</t>
  </si>
  <si>
    <t>Summe Attributspunkte</t>
  </si>
  <si>
    <t>Fertigkeiten Allgemein</t>
  </si>
  <si>
    <t>Fertigkeiten Zauber</t>
  </si>
  <si>
    <t>Wundstufe</t>
  </si>
  <si>
    <t>Faktor</t>
  </si>
  <si>
    <t>Konstitution</t>
  </si>
  <si>
    <t>Fixbonus Abwehrfertigkeit</t>
  </si>
  <si>
    <t>Fertigkeiten mit Abwehr</t>
  </si>
  <si>
    <t>Attribut-Punkte</t>
  </si>
  <si>
    <t>Maximum Fertigkeit absolut</t>
  </si>
  <si>
    <t>Maximum Attribut absolut</t>
  </si>
  <si>
    <t>Maximum Attribut Generierung</t>
  </si>
  <si>
    <t>Maximum Fertigkeit Generierung</t>
  </si>
  <si>
    <t>ALLE</t>
  </si>
  <si>
    <t>Wert</t>
  </si>
  <si>
    <t>Kosten</t>
  </si>
  <si>
    <t>Der Charakter wird von einem kleinen Wassergeist begleitet, der einige kleinere Tricks beherrscht (ähnlich dem Zauber Flammenherrschaft, auf Wasser bezogen).</t>
  </si>
  <si>
    <t>Kosten aktiv</t>
  </si>
  <si>
    <t>Hilfsschritt</t>
  </si>
  <si>
    <t>Bezugswert</t>
  </si>
  <si>
    <t>Erfahrungs-Punkte</t>
  </si>
  <si>
    <t>Meisterschaft Schwellwert</t>
  </si>
  <si>
    <t>Meisterschaft Schwellschritt</t>
  </si>
  <si>
    <t>♦</t>
  </si>
  <si>
    <t>Meisterschaft Symbol</t>
  </si>
  <si>
    <t>Fertigkeits-Punkte Generierung</t>
  </si>
  <si>
    <t>Attributs-Punkte Generierung</t>
  </si>
  <si>
    <t>Cederion</t>
  </si>
  <si>
    <t>Anzahl Vorteile</t>
  </si>
  <si>
    <t>Anzahl Meisterschaften</t>
  </si>
  <si>
    <t>ZWISCHENSUMME EP</t>
  </si>
  <si>
    <t>Anzahl 6er-Fertigkeiten</t>
  </si>
  <si>
    <t>Meisterschaft Pauschalkosten EP</t>
  </si>
  <si>
    <t>Vorteil Pauschalkosten EP</t>
  </si>
  <si>
    <t>Wahl</t>
  </si>
  <si>
    <t>Der Abenteurer wendet eine Aktion (10 Ticks) auf, um die Moral seiner Verbündeten zu stärken. Verbündete erhalten für 20 Ticks einen Bonus von +1 auf passende Widerstandswürfe oder dürfen, wenn sie schon von einem Effekt betroffen sind, einen erneuten Widerstandswurf versuchen.</t>
  </si>
  <si>
    <t>Wenn der Abenteurer einen Zauber, der vorbereitet wird, mit einer erfolgreichen Probe auf Arkane Kunde gegen die Schwierigkeit des Zaubers identifiziert, erhält er einen Bonus von +2 auf seinen Verteidigungs- oder Widerstandswert gegen diesen.</t>
  </si>
  <si>
    <t>Der Abenteurer kann die Fähigkeiten von Artefakten grob identifizieren.</t>
  </si>
  <si>
    <t>Der Abenteurer erhält einen Bonus von +1 auf alle Heimlichkeit-Proben, solange er sich in einer Stadt befindet.</t>
  </si>
  <si>
    <t>Der Abenteurer erhält einen Bonus von +1 auf alle Heimlichkeit-Proben, solange er sich in der Wildnis befindet.</t>
  </si>
  <si>
    <t>Richtet ein Schmetterschlag Schaden an, muss der Getroffene eine Zähigkeit-Probe gegen Schwierigkeit 20 ablegen, oder er wird benommen (für 30 Ticks benötigen seine Handlungen 2 Ticks mehr als angegeben).</t>
  </si>
  <si>
    <t>Der Kämpfer kann aus dem Laufen heraus angreifen. Hat er mindestens 3 m Anlauf, kann er eine Laufen-Aktion mit einem Angriff kombinieren und erhält seine halbe Bewegungsgeschwindigkeit als zusätzlichen Waffenschaden.</t>
  </si>
  <si>
    <t>Durch seine Handelsbeziehungen erhält der Charakter einen Bonus von +1 auf Straßenkunde- Proben, bei denen es darum geht, Waren zu beschaffen oder zu verkaufen.</t>
  </si>
  <si>
    <t>Ein Varg hat sehr scharfe Ohren. Er erhält einen Bonus von +3 auf passende Wahrnehmung-Proben.</t>
  </si>
  <si>
    <t>Die Archetypen aus dem Schnellstarter (Erstauflage, 02.06.2013)</t>
  </si>
  <si>
    <t>Manipulation</t>
  </si>
  <si>
    <t>#</t>
  </si>
  <si>
    <t>Eshi</t>
  </si>
  <si>
    <t>Keira</t>
  </si>
  <si>
    <t>Selesha</t>
  </si>
  <si>
    <t>Telkin</t>
  </si>
  <si>
    <t>Tiai</t>
  </si>
  <si>
    <t>Differenz Mittelwert</t>
  </si>
  <si>
    <t>Waffen</t>
  </si>
  <si>
    <t>Schaden</t>
  </si>
  <si>
    <t>Geschw.</t>
  </si>
  <si>
    <t>Zeitmalus</t>
  </si>
  <si>
    <t>Rüstschutz</t>
  </si>
  <si>
    <t>Vorteile</t>
  </si>
  <si>
    <t>Daten-Tabellen</t>
  </si>
  <si>
    <t>Attribut-Pool ändern?</t>
  </si>
  <si>
    <t>Erfahrungs-Pool ändern?</t>
  </si>
  <si>
    <t>Muss ich noch etwas wissen?</t>
  </si>
  <si>
    <t>http://splittermond.de/schnellstarter-jetzt-als-download-verfugbar/</t>
  </si>
  <si>
    <t>Es ist notwendig, dass Du Dich mit den Grundregeln von Splittermond auskennst. Sonst macht dieses Tool für Dich keinen Sinn. Das erreichst Du am schnellsten, wenn Du Dir den Schnellstarter herunterlädtst:</t>
  </si>
  <si>
    <t>http://forum.splittermond.de/index.php?topic=267.0</t>
  </si>
  <si>
    <t>Meisterschaften</t>
  </si>
  <si>
    <t>Magieschule</t>
  </si>
  <si>
    <t>Hilfstabelle Magieschule</t>
  </si>
  <si>
    <t>Hilfstabelle Manipulation</t>
  </si>
  <si>
    <t>Hilfstabellen</t>
  </si>
  <si>
    <t>Hilfstabelle Vorteile</t>
  </si>
  <si>
    <t>Hilfstabelle Meisterschaften</t>
  </si>
  <si>
    <t>Widerstände</t>
  </si>
  <si>
    <t>Rüstungen</t>
  </si>
  <si>
    <t>Widerstand</t>
  </si>
  <si>
    <t>VTD</t>
  </si>
  <si>
    <t>KWI</t>
  </si>
  <si>
    <t>GWI</t>
  </si>
  <si>
    <t>Abgeleiteter Wert</t>
  </si>
  <si>
    <t>GRÖ</t>
  </si>
  <si>
    <t>RAS</t>
  </si>
  <si>
    <t>GSW</t>
  </si>
  <si>
    <t>SPL</t>
  </si>
  <si>
    <t>Typ</t>
  </si>
  <si>
    <t>Basiswerte</t>
  </si>
  <si>
    <t>Geist</t>
  </si>
  <si>
    <t>Körper</t>
  </si>
  <si>
    <t>Beeindruckende Persönlichkeit, gewinnendes Wesen</t>
  </si>
  <si>
    <t>Körperliche Gewandtheit und Agilität</t>
  </si>
  <si>
    <t>Manuelle Geschicklichkeit und Feinmotorik</t>
  </si>
  <si>
    <t>Auffassungsgabe und Reaktionsvermögen</t>
  </si>
  <si>
    <t>Widerstandsfähigkeit und Ausdauer</t>
  </si>
  <si>
    <t>Affinität zur magischen Kraft</t>
  </si>
  <si>
    <t>Muskelkraft und rohe körperliche Stärke</t>
  </si>
  <si>
    <t>Intelligenz und logisches Denken</t>
  </si>
  <si>
    <t>Furchtlosigkeit und Selbstbeherrschung</t>
  </si>
  <si>
    <t>Unter Schusswaffen fallen vor allem Bögen und Armbrüste.</t>
  </si>
  <si>
    <t>Tabelle Eigenschaften</t>
  </si>
  <si>
    <t>Eigenschaft</t>
  </si>
  <si>
    <t>Hilfstabelle Eigenschaften</t>
  </si>
  <si>
    <t>AKR</t>
  </si>
  <si>
    <t>ALC</t>
  </si>
  <si>
    <t>ANF</t>
  </si>
  <si>
    <t>ARK</t>
  </si>
  <si>
    <t>ATH</t>
  </si>
  <si>
    <t>DAR</t>
  </si>
  <si>
    <t>EDE</t>
  </si>
  <si>
    <t>EMP</t>
  </si>
  <si>
    <t>ENT</t>
  </si>
  <si>
    <t>FIN</t>
  </si>
  <si>
    <t>FOK</t>
  </si>
  <si>
    <t>HAN</t>
  </si>
  <si>
    <t>HEI</t>
  </si>
  <si>
    <t>HIE</t>
  </si>
  <si>
    <t>HOL</t>
  </si>
  <si>
    <t>JAG</t>
  </si>
  <si>
    <t>KET</t>
  </si>
  <si>
    <t>KLI</t>
  </si>
  <si>
    <t>LÄN</t>
  </si>
  <si>
    <t>LEB</t>
  </si>
  <si>
    <t>LED</t>
  </si>
  <si>
    <t>MET</t>
  </si>
  <si>
    <t>NAT</t>
  </si>
  <si>
    <t>RED</t>
  </si>
  <si>
    <t>SEE</t>
  </si>
  <si>
    <t>STA</t>
  </si>
  <si>
    <t>STR</t>
  </si>
  <si>
    <t>TIE</t>
  </si>
  <si>
    <t>ÜBE</t>
  </si>
  <si>
    <t>WAH</t>
  </si>
  <si>
    <t>WIS</t>
  </si>
  <si>
    <t>WUR</t>
  </si>
  <si>
    <t>ZÄH</t>
  </si>
  <si>
    <t>Multiplikation Symbol</t>
  </si>
  <si>
    <t>·</t>
  </si>
  <si>
    <t>Anz</t>
  </si>
  <si>
    <t>Wertsumme</t>
  </si>
  <si>
    <t>von</t>
  </si>
  <si>
    <t>Reichw.</t>
  </si>
  <si>
    <t>Fertigkt.</t>
  </si>
  <si>
    <t>Tabelle Vorteile -&gt; Eigenschaften</t>
  </si>
  <si>
    <t>Fester Bonus</t>
  </si>
  <si>
    <t>Situativer Bonus</t>
  </si>
  <si>
    <t>Artefakt Feuermagie</t>
  </si>
  <si>
    <t>aktiviert</t>
  </si>
  <si>
    <t>Situationsbonus Symbol</t>
  </si>
  <si>
    <t>Tabelle Meisterschaften -&gt; Eigenschaften</t>
  </si>
  <si>
    <t>Der Abenteurer wählt eine Tierart aus. Gegen diese erhält er einen Bonus von +3 auf Angriffe und Wahrnehmung-Proben.</t>
  </si>
  <si>
    <t>Der Abenteurer ist in der Lage, eine aktive Verteidigung für einen anderen einzusetzen. Diese Person darf nicht weiter als 2 m von ihm entfernt sein.</t>
  </si>
  <si>
    <t>Abzüge, die durch das Führen eines Schildes entstehen, werden aufgehoben.</t>
  </si>
  <si>
    <t>`</t>
  </si>
  <si>
    <t>Splittermond Charakter-Generator (Beta)</t>
  </si>
  <si>
    <t>Fertigkeiten Kampf</t>
  </si>
  <si>
    <t>Handgemenge Abwehr</t>
  </si>
  <si>
    <t>Zähigkeit Abwehr</t>
  </si>
  <si>
    <t>Abwehr</t>
  </si>
  <si>
    <t>Entschlossenheit Abwehr</t>
  </si>
  <si>
    <t>Hiebwaffen Abwehr</t>
  </si>
  <si>
    <t>Kettenwaffen Abwehr</t>
  </si>
  <si>
    <t>Klingenwaffen Abwehr</t>
  </si>
  <si>
    <t>Stangenwaffen Abwehr</t>
  </si>
  <si>
    <t>Akrobatik Abwehr</t>
  </si>
  <si>
    <t>AKRABW</t>
  </si>
  <si>
    <t>ZÄHABW</t>
  </si>
  <si>
    <t>ENTABW</t>
  </si>
  <si>
    <t>HANABW</t>
  </si>
  <si>
    <t>HIEABW</t>
  </si>
  <si>
    <t>KLIABW</t>
  </si>
  <si>
    <t>KETABW</t>
  </si>
  <si>
    <t>STAABW</t>
  </si>
  <si>
    <t>Manipulations-Wert</t>
  </si>
  <si>
    <t>Abwehrfertigkeit Suffix</t>
  </si>
  <si>
    <t xml:space="preserve"> Abwehr</t>
  </si>
  <si>
    <t>SCH</t>
  </si>
  <si>
    <t>Generierung Werte</t>
  </si>
  <si>
    <t>Generierung Vorteile</t>
  </si>
  <si>
    <t>Generierung Meisterschaften</t>
  </si>
  <si>
    <t>Rüstungsabwehr Symbol</t>
  </si>
  <si>
    <t>*</t>
  </si>
  <si>
    <t>Erzeugt mit dem Charakter-Generator v.1.1 auf Basis des Schnellstarters vom 02.06.13</t>
  </si>
  <si>
    <t>Wieso eigentlich "Beta"?</t>
  </si>
  <si>
    <t>Wie benutze ich den Charakter-Generator?</t>
  </si>
  <si>
    <t>Version</t>
  </si>
  <si>
    <t>1.1</t>
  </si>
  <si>
    <t>vom</t>
  </si>
  <si>
    <t>18.06.2013</t>
  </si>
  <si>
    <t>Geschlecht</t>
  </si>
  <si>
    <t>weiblich</t>
  </si>
  <si>
    <t>männlich</t>
  </si>
  <si>
    <t>Splitterfähigkeit:</t>
  </si>
  <si>
    <t>Geschwindigkeit:</t>
  </si>
  <si>
    <t>Größe:</t>
  </si>
  <si>
    <t>Geschlecht:</t>
  </si>
  <si>
    <t>Feuermagier</t>
  </si>
  <si>
    <t>Klingentänzer</t>
  </si>
  <si>
    <t>Protector</t>
  </si>
  <si>
    <t>Alchemistin</t>
  </si>
  <si>
    <t>Priesterin des Kashrok</t>
  </si>
  <si>
    <t>Ritterin</t>
  </si>
  <si>
    <t>Sandläuferin</t>
  </si>
  <si>
    <t>Ausbildung m</t>
  </si>
  <si>
    <t>Ausbildung w</t>
  </si>
  <si>
    <t>Spalte</t>
  </si>
  <si>
    <t>Du trägst die Werte Deines Charakters in den gelben Feldern auf den gelben Reitern dieser Excel-Datei ein. Am besten, Du beginnst mit dem Reiter "GENERIERUNG WERTE", da passiert das Wichtigste. Vorteile und Meisterschaften kannst Du auf den anderen beiden gelben Reitern aktivieren.</t>
  </si>
  <si>
    <t>Ein Tool zur Erstellung von Spielcharakteren im Rollenspiel-System Splittermond. Basierend auf den Splittermond Schnellstarter-Regeln (Beta) vom 02.06.2013 sowie Informationen von forum.splittermond.de, ergänzt um eigene  (spekulative) Generierungsregeln und Abwehrfertigkeiten.</t>
  </si>
  <si>
    <t>Dieses Tool ist "Beta", weil es auf dem vorläufigen Schnellstarter basiert (also der Beta-Version von Splittermond), den verstreuten Informationen der Regel-Autoren aus dem Splittermond-Forum und... jeder Menge Spekulationen ;-) Je weiter das Regelwerk der Autoren fortschreitet, desto ungültiger wird dieser Charakter-Generator. Bis er irgendwann - hoffentlich im Okotober 2013 - durch das Grundregelwerk von Splittermond abgelöst wird.</t>
  </si>
  <si>
    <t>Dieser Charakter-Generator wird im Forum ebenfalls diskutiert, dort kannst Du Dich über seine Regelmechanismen informieren, Fragen stellen oder Fehler melden:</t>
  </si>
  <si>
    <t>http://forum.splittermond.de/index.php?topic=252.0</t>
  </si>
  <si>
    <t>Das Regelwerk ist erweitert um die "Abwehrfertigkeiten", welche anstelle der "Widerstände" angewandt werden könne. Mehr Informationen unter:</t>
  </si>
  <si>
    <t>Wenn Du alles "Gelbe" eingetragen hast, klickst Du auf den "blauen Reiter", den "Charakterbogen". Dort findest Du Deine Werte in einer Übersicht und kannst noch Waffen, Rüstungen und ein eigenes Charakterbild nachtragen. Ausdrucken und fertig.</t>
  </si>
  <si>
    <t>Leichtes Leder</t>
  </si>
  <si>
    <t>Langschwert</t>
  </si>
  <si>
    <t>1W6+4</t>
  </si>
  <si>
    <t>+1</t>
  </si>
  <si>
    <t>0</t>
  </si>
  <si>
    <t>(HAN)</t>
  </si>
  <si>
    <t>(HIE)</t>
  </si>
  <si>
    <t>(KET)</t>
  </si>
  <si>
    <t>(KLI)</t>
  </si>
  <si>
    <t>(STA)</t>
  </si>
  <si>
    <t>(SCH)</t>
  </si>
  <si>
    <t>(WUR)</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</si>
</sst>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Ja&quot;;&quot;Ja&quot;;&quot;Nein&quot;"/>
    <numFmt numFmtId="165" formatCode="&quot;Wahr&quot;;&quot;Wahr&quot;;&quot;Falsch&quot;"/>
    <numFmt numFmtId="166" formatCode="&quot;Ein&quot;;&quot;Ein&quot;;&quot;Aus&quot;"/>
    <numFmt numFmtId="167" formatCode="[$€-2]\ #,##0.00_);[Red]\([$€-2]\ #,##0.00\)"/>
    <numFmt numFmtId="168" formatCode="0&quot; Start-Punkt(e)&quot;"/>
    <numFmt numFmtId="169" formatCode="0&quot; EP&quot;"/>
    <numFmt numFmtId="170" formatCode="&quot;Faktor Vorteile: &quot;0"/>
    <numFmt numFmtId="171" formatCode="&quot;Faktor Fertigkeiten: &quot;0"/>
    <numFmt numFmtId="172" formatCode="&quot;Vorteile ausgewählt: &quot;0"/>
    <numFmt numFmtId="173" formatCode="&quot;Meisterschaften ausgewählt: &quot;0"/>
    <numFmt numFmtId="174" formatCode="0&quot; Meisterschaften ausgewählt&quot;"/>
    <numFmt numFmtId="175" formatCode="0&quot; Vorteile ausgewählt&quot;"/>
    <numFmt numFmtId="176" formatCode="0&quot; Vorteil(e) ausgewählt&quot;"/>
    <numFmt numFmtId="177" formatCode="0&quot; Meisterschaft(en) ausgewählt&quot;"/>
    <numFmt numFmtId="178" formatCode="0&quot; fix&quot;"/>
    <numFmt numFmtId="179" formatCode="&quot;+&quot;0&quot; fix&quot;"/>
    <numFmt numFmtId="180" formatCode="\+#,##0;[Red]\-#,##0"/>
    <numFmt numFmtId="181" formatCode="#,#00"/>
    <numFmt numFmtId="182" formatCode="&quot;Version&quot;\ 0"/>
  </numFmts>
  <fonts count="53">
    <font>
      <sz val="10"/>
      <name val="Arial"/>
      <family val="0"/>
    </font>
    <font>
      <sz val="8"/>
      <name val="Arial"/>
      <family val="2"/>
    </font>
    <font>
      <sz val="8"/>
      <name val="Tahoma"/>
      <family val="2"/>
    </font>
    <font>
      <sz val="12"/>
      <name val="Verdana"/>
      <family val="2"/>
    </font>
    <font>
      <sz val="10"/>
      <name val="Verdana"/>
      <family val="2"/>
    </font>
    <font>
      <b/>
      <sz val="16"/>
      <color indexed="18"/>
      <name val="Verdana"/>
      <family val="2"/>
    </font>
    <font>
      <b/>
      <sz val="12"/>
      <color indexed="18"/>
      <name val="Verdana"/>
      <family val="2"/>
    </font>
    <font>
      <b/>
      <sz val="10"/>
      <color indexed="9"/>
      <name val="Verdana"/>
      <family val="2"/>
    </font>
    <font>
      <b/>
      <sz val="10"/>
      <color indexed="18"/>
      <name val="Verdana"/>
      <family val="2"/>
    </font>
    <font>
      <b/>
      <sz val="10"/>
      <name val="Verdana"/>
      <family val="2"/>
    </font>
    <font>
      <b/>
      <sz val="10"/>
      <color indexed="8"/>
      <name val="Verdana"/>
      <family val="2"/>
    </font>
    <font>
      <b/>
      <i/>
      <sz val="10"/>
      <color indexed="18"/>
      <name val="Verdana"/>
      <family val="2"/>
    </font>
    <font>
      <sz val="10"/>
      <color indexed="55"/>
      <name val="Verdana"/>
      <family val="2"/>
    </font>
    <font>
      <b/>
      <sz val="10"/>
      <color indexed="55"/>
      <name val="Verdana"/>
      <family val="2"/>
    </font>
    <font>
      <b/>
      <sz val="14"/>
      <color indexed="18"/>
      <name val="Verdana"/>
      <family val="2"/>
    </font>
    <font>
      <b/>
      <sz val="10"/>
      <color indexed="23"/>
      <name val="Verdana"/>
      <family val="2"/>
    </font>
    <font>
      <sz val="10"/>
      <color indexed="23"/>
      <name val="Verdana"/>
      <family val="2"/>
    </font>
    <font>
      <sz val="10"/>
      <color indexed="22"/>
      <name val="Verdana"/>
      <family val="2"/>
    </font>
    <font>
      <b/>
      <sz val="6"/>
      <color indexed="8"/>
      <name val="Verdana"/>
      <family val="2"/>
    </font>
    <font>
      <sz val="6"/>
      <name val="Verdana"/>
      <family val="2"/>
    </font>
    <font>
      <sz val="24"/>
      <name val="Verdana"/>
      <family val="2"/>
    </font>
    <font>
      <u val="single"/>
      <sz val="10"/>
      <color indexed="12"/>
      <name val="Arial"/>
      <family val="2"/>
    </font>
    <font>
      <u val="single"/>
      <sz val="10"/>
      <color indexed="12"/>
      <name val="Verdana"/>
      <family val="2"/>
    </font>
    <font>
      <sz val="130"/>
      <name val="Verdana"/>
      <family val="2"/>
    </font>
    <font>
      <sz val="10"/>
      <color indexed="9"/>
      <name val="Verdana"/>
      <family val="2"/>
    </font>
    <font>
      <i/>
      <sz val="8"/>
      <name val="Verdana"/>
      <family val="2"/>
    </font>
    <font>
      <sz val="8"/>
      <color indexed="9"/>
      <name val="Verdana"/>
      <family val="2"/>
    </font>
    <font>
      <b/>
      <sz val="12"/>
      <color indexed="8"/>
      <name val="Verdana"/>
      <family val="2"/>
    </font>
    <font>
      <sz val="8"/>
      <color indexed="17"/>
      <name val="Verdana"/>
      <family val="2"/>
    </font>
    <font>
      <sz val="7"/>
      <name val="Verdana"/>
      <family val="2"/>
    </font>
    <font>
      <sz val="7"/>
      <color indexed="17"/>
      <name val="Verdana"/>
      <family val="2"/>
    </font>
    <font>
      <b/>
      <sz val="12"/>
      <name val="Verdana"/>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8"/>
      <name val="Verdana"/>
      <family val="2"/>
    </font>
    <font>
      <b/>
      <sz val="6"/>
      <color indexed="18"/>
      <name val="Verdana"/>
      <family val="2"/>
    </font>
    <font>
      <b/>
      <sz val="6"/>
      <name val="Verdana"/>
      <family val="2"/>
    </font>
    <font>
      <u val="single"/>
      <sz val="10"/>
      <color indexed="36"/>
      <name val="Arial"/>
      <family val="0"/>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
      <patternFill patternType="solid">
        <fgColor indexed="9"/>
        <bgColor indexed="64"/>
      </patternFill>
    </fill>
    <fill>
      <patternFill patternType="solid">
        <fgColor indexed="40"/>
        <bgColor indexed="64"/>
      </patternFill>
    </fill>
    <fill>
      <patternFill patternType="solid">
        <fgColor indexed="23"/>
        <bgColor indexed="64"/>
      </patternFill>
    </fill>
    <fill>
      <patternFill patternType="solid">
        <fgColor indexed="41"/>
        <bgColor indexed="64"/>
      </patternFill>
    </fill>
  </fills>
  <borders count="50">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style="thin">
        <color indexed="22"/>
      </left>
      <right style="thin">
        <color indexed="22"/>
      </right>
      <top style="thin">
        <color indexed="22"/>
      </top>
      <bottom>
        <color indexed="63"/>
      </bottom>
    </border>
    <border>
      <left style="thin">
        <color indexed="22"/>
      </left>
      <right style="thin">
        <color indexed="22"/>
      </right>
      <top>
        <color indexed="63"/>
      </top>
      <bottom>
        <color indexed="63"/>
      </bottom>
    </border>
    <border>
      <left style="thin">
        <color indexed="22"/>
      </left>
      <right style="thin">
        <color indexed="22"/>
      </right>
      <top>
        <color indexed="63"/>
      </top>
      <bottom style="thin">
        <color indexed="22"/>
      </bottom>
    </border>
    <border>
      <left style="thick">
        <color indexed="9"/>
      </left>
      <right style="thick">
        <color indexed="9"/>
      </right>
      <top style="thick">
        <color indexed="9"/>
      </top>
      <bottom style="thick">
        <color indexed="9"/>
      </bottom>
    </border>
    <border>
      <left style="thick">
        <color indexed="9"/>
      </left>
      <right>
        <color indexed="63"/>
      </right>
      <top style="thick">
        <color indexed="9"/>
      </top>
      <bottom style="thick">
        <color indexed="9"/>
      </bottom>
    </border>
    <border>
      <left>
        <color indexed="63"/>
      </left>
      <right>
        <color indexed="63"/>
      </right>
      <top style="thick">
        <color indexed="9"/>
      </top>
      <bottom style="thick">
        <color indexed="9"/>
      </bottom>
    </border>
    <border>
      <left>
        <color indexed="63"/>
      </left>
      <right style="thick">
        <color indexed="9"/>
      </right>
      <top style="thick">
        <color indexed="9"/>
      </top>
      <bottom style="thick">
        <color indexed="9"/>
      </bottom>
    </border>
    <border>
      <left>
        <color indexed="63"/>
      </left>
      <right style="thick">
        <color indexed="9"/>
      </right>
      <top>
        <color indexed="63"/>
      </top>
      <bottom>
        <color indexed="63"/>
      </bottom>
    </border>
    <border>
      <left style="double">
        <color indexed="56"/>
      </left>
      <right>
        <color indexed="63"/>
      </right>
      <top style="double">
        <color indexed="56"/>
      </top>
      <bottom>
        <color indexed="63"/>
      </bottom>
    </border>
    <border>
      <left>
        <color indexed="63"/>
      </left>
      <right>
        <color indexed="63"/>
      </right>
      <top style="double">
        <color indexed="56"/>
      </top>
      <bottom>
        <color indexed="63"/>
      </bottom>
    </border>
    <border>
      <left>
        <color indexed="63"/>
      </left>
      <right style="double">
        <color indexed="56"/>
      </right>
      <top style="double">
        <color indexed="56"/>
      </top>
      <bottom>
        <color indexed="63"/>
      </bottom>
    </border>
    <border>
      <left style="double">
        <color indexed="56"/>
      </left>
      <right>
        <color indexed="63"/>
      </right>
      <top>
        <color indexed="63"/>
      </top>
      <bottom>
        <color indexed="63"/>
      </bottom>
    </border>
    <border>
      <left>
        <color indexed="63"/>
      </left>
      <right style="double">
        <color indexed="56"/>
      </right>
      <top>
        <color indexed="63"/>
      </top>
      <bottom>
        <color indexed="63"/>
      </bottom>
    </border>
    <border>
      <left style="double">
        <color indexed="56"/>
      </left>
      <right>
        <color indexed="63"/>
      </right>
      <top>
        <color indexed="63"/>
      </top>
      <bottom style="double">
        <color indexed="56"/>
      </bottom>
    </border>
    <border>
      <left>
        <color indexed="63"/>
      </left>
      <right>
        <color indexed="63"/>
      </right>
      <top>
        <color indexed="63"/>
      </top>
      <bottom style="double">
        <color indexed="56"/>
      </bottom>
    </border>
    <border>
      <left>
        <color indexed="63"/>
      </left>
      <right style="double">
        <color indexed="56"/>
      </right>
      <top>
        <color indexed="63"/>
      </top>
      <bottom style="double">
        <color indexed="56"/>
      </bottom>
    </border>
    <border>
      <left style="thick">
        <color indexed="56"/>
      </left>
      <right>
        <color indexed="63"/>
      </right>
      <top style="thick">
        <color indexed="56"/>
      </top>
      <bottom>
        <color indexed="63"/>
      </bottom>
    </border>
    <border>
      <left>
        <color indexed="63"/>
      </left>
      <right>
        <color indexed="63"/>
      </right>
      <top style="thick">
        <color indexed="56"/>
      </top>
      <bottom>
        <color indexed="63"/>
      </bottom>
    </border>
    <border>
      <left>
        <color indexed="63"/>
      </left>
      <right style="thick">
        <color indexed="56"/>
      </right>
      <top style="thick">
        <color indexed="56"/>
      </top>
      <bottom>
        <color indexed="63"/>
      </bottom>
    </border>
    <border>
      <left style="thick">
        <color indexed="56"/>
      </left>
      <right>
        <color indexed="63"/>
      </right>
      <top>
        <color indexed="63"/>
      </top>
      <bottom>
        <color indexed="63"/>
      </bottom>
    </border>
    <border>
      <left>
        <color indexed="63"/>
      </left>
      <right style="thick">
        <color indexed="56"/>
      </right>
      <top>
        <color indexed="63"/>
      </top>
      <bottom>
        <color indexed="63"/>
      </bottom>
    </border>
    <border>
      <left style="thick">
        <color indexed="56"/>
      </left>
      <right>
        <color indexed="63"/>
      </right>
      <top>
        <color indexed="63"/>
      </top>
      <bottom style="thick">
        <color indexed="56"/>
      </bottom>
    </border>
    <border>
      <left>
        <color indexed="63"/>
      </left>
      <right>
        <color indexed="63"/>
      </right>
      <top>
        <color indexed="63"/>
      </top>
      <bottom style="thick">
        <color indexed="56"/>
      </bottom>
    </border>
    <border>
      <left>
        <color indexed="63"/>
      </left>
      <right style="thick">
        <color indexed="56"/>
      </right>
      <top>
        <color indexed="63"/>
      </top>
      <bottom style="thick">
        <color indexed="56"/>
      </bottom>
    </border>
    <border>
      <left>
        <color indexed="63"/>
      </left>
      <right>
        <color indexed="63"/>
      </right>
      <top style="thick">
        <color indexed="9"/>
      </top>
      <bottom style="thick">
        <color indexed="56"/>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5" borderId="0" applyNumberFormat="0" applyBorder="0" applyAlignment="0" applyProtection="0"/>
    <xf numFmtId="0" fontId="32" fillId="8" borderId="0" applyNumberFormat="0" applyBorder="0" applyAlignment="0" applyProtection="0"/>
    <xf numFmtId="0" fontId="32" fillId="11" borderId="0" applyNumberFormat="0" applyBorder="0" applyAlignment="0" applyProtection="0"/>
    <xf numFmtId="0" fontId="33" fillId="12"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9" borderId="0" applyNumberFormat="0" applyBorder="0" applyAlignment="0" applyProtection="0"/>
    <xf numFmtId="0" fontId="34" fillId="20" borderId="1" applyNumberFormat="0" applyAlignment="0" applyProtection="0"/>
    <xf numFmtId="0" fontId="35" fillId="20" borderId="2" applyNumberFormat="0" applyAlignment="0" applyProtection="0"/>
    <xf numFmtId="0" fontId="5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6" fillId="7" borderId="2" applyNumberFormat="0" applyAlignment="0" applyProtection="0"/>
    <xf numFmtId="0" fontId="37" fillId="0" borderId="3" applyNumberFormat="0" applyFill="0" applyAlignment="0" applyProtection="0"/>
    <xf numFmtId="0" fontId="38" fillId="0" borderId="0" applyNumberFormat="0" applyFill="0" applyBorder="0" applyAlignment="0" applyProtection="0"/>
    <xf numFmtId="0" fontId="39" fillId="4" borderId="0" applyNumberFormat="0" applyBorder="0" applyAlignment="0" applyProtection="0"/>
    <xf numFmtId="0" fontId="21" fillId="0" borderId="0" applyNumberFormat="0" applyFill="0" applyBorder="0" applyAlignment="0" applyProtection="0"/>
    <xf numFmtId="0" fontId="40" fillId="21" borderId="0" applyNumberFormat="0" applyBorder="0" applyAlignment="0" applyProtection="0"/>
    <xf numFmtId="0" fontId="0" fillId="22" borderId="4" applyNumberFormat="0" applyFont="0" applyAlignment="0" applyProtection="0"/>
    <xf numFmtId="9" fontId="0" fillId="0" borderId="0" applyFont="0" applyFill="0" applyBorder="0" applyAlignment="0" applyProtection="0"/>
    <xf numFmtId="0" fontId="41" fillId="3" borderId="0" applyNumberFormat="0" applyBorder="0" applyAlignment="0" applyProtection="0"/>
    <xf numFmtId="0" fontId="42" fillId="0" borderId="0" applyNumberForma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3" borderId="9" applyNumberFormat="0" applyAlignment="0" applyProtection="0"/>
  </cellStyleXfs>
  <cellXfs count="334">
    <xf numFmtId="0" fontId="0" fillId="0" borderId="0" xfId="0" applyAlignment="1">
      <alignment/>
    </xf>
    <xf numFmtId="0" fontId="3" fillId="0" borderId="0" xfId="0" applyFont="1" applyBorder="1" applyAlignment="1">
      <alignment vertical="center"/>
    </xf>
    <xf numFmtId="0" fontId="4" fillId="0" borderId="0" xfId="0" applyFont="1" applyBorder="1" applyAlignment="1">
      <alignment/>
    </xf>
    <xf numFmtId="0" fontId="4" fillId="0" borderId="0" xfId="0" applyFont="1" applyAlignment="1">
      <alignment/>
    </xf>
    <xf numFmtId="0" fontId="4" fillId="0" borderId="0" xfId="0" applyFont="1" applyAlignment="1">
      <alignment vertical="center"/>
    </xf>
    <xf numFmtId="0" fontId="4" fillId="0" borderId="0" xfId="0" applyFont="1" applyBorder="1" applyAlignment="1">
      <alignment vertical="center"/>
    </xf>
    <xf numFmtId="0" fontId="3" fillId="0" borderId="0" xfId="0" applyFont="1" applyAlignment="1">
      <alignment vertical="top" wrapText="1"/>
    </xf>
    <xf numFmtId="0" fontId="4" fillId="0" borderId="0" xfId="0" applyFont="1" applyAlignment="1">
      <alignment vertical="top" wrapText="1"/>
    </xf>
    <xf numFmtId="0" fontId="4" fillId="0" borderId="0" xfId="0" applyFont="1" applyAlignment="1">
      <alignment vertical="top"/>
    </xf>
    <xf numFmtId="0" fontId="9" fillId="8" borderId="10" xfId="0" applyFont="1" applyFill="1" applyBorder="1" applyAlignment="1">
      <alignment vertical="top" wrapText="1"/>
    </xf>
    <xf numFmtId="0" fontId="4" fillId="0" borderId="10" xfId="0" applyFont="1" applyBorder="1" applyAlignment="1">
      <alignment vertical="top" wrapText="1"/>
    </xf>
    <xf numFmtId="0" fontId="4" fillId="0" borderId="10" xfId="0" applyFont="1" applyBorder="1" applyAlignment="1">
      <alignment horizontal="center" vertical="top" wrapText="1"/>
    </xf>
    <xf numFmtId="0" fontId="9" fillId="8" borderId="11" xfId="0" applyFont="1" applyFill="1" applyBorder="1" applyAlignment="1">
      <alignment vertical="top"/>
    </xf>
    <xf numFmtId="0" fontId="9" fillId="8" borderId="12" xfId="0" applyFont="1" applyFill="1" applyBorder="1" applyAlignment="1">
      <alignment horizontal="center" vertical="top"/>
    </xf>
    <xf numFmtId="0" fontId="9" fillId="8" borderId="13" xfId="0" applyFont="1" applyFill="1" applyBorder="1" applyAlignment="1">
      <alignment vertical="top"/>
    </xf>
    <xf numFmtId="0" fontId="9" fillId="8" borderId="12" xfId="0" applyFont="1" applyFill="1" applyBorder="1" applyAlignment="1">
      <alignment vertical="top"/>
    </xf>
    <xf numFmtId="0" fontId="9" fillId="8" borderId="10" xfId="0" applyFont="1" applyFill="1" applyBorder="1" applyAlignment="1">
      <alignment vertical="top"/>
    </xf>
    <xf numFmtId="0" fontId="4" fillId="24" borderId="10" xfId="0" applyFont="1" applyFill="1" applyBorder="1" applyAlignment="1">
      <alignment vertical="top"/>
    </xf>
    <xf numFmtId="0" fontId="4" fillId="0" borderId="10" xfId="0" applyFont="1" applyBorder="1" applyAlignment="1">
      <alignment horizontal="center" vertical="top"/>
    </xf>
    <xf numFmtId="0" fontId="4" fillId="0" borderId="11" xfId="0" applyFont="1" applyBorder="1" applyAlignment="1">
      <alignment vertical="top"/>
    </xf>
    <xf numFmtId="0" fontId="4" fillId="0" borderId="13" xfId="0" applyFont="1" applyBorder="1" applyAlignment="1">
      <alignment vertical="top"/>
    </xf>
    <xf numFmtId="0" fontId="4" fillId="0" borderId="13" xfId="0" applyFont="1" applyBorder="1" applyAlignment="1">
      <alignment horizontal="center" vertical="top"/>
    </xf>
    <xf numFmtId="0" fontId="4" fillId="0" borderId="12" xfId="0" applyFont="1" applyBorder="1" applyAlignment="1">
      <alignment horizontal="center" vertical="top"/>
    </xf>
    <xf numFmtId="0" fontId="4" fillId="0" borderId="0" xfId="0" applyFont="1" applyBorder="1" applyAlignment="1">
      <alignment horizontal="center" vertical="top"/>
    </xf>
    <xf numFmtId="0" fontId="4" fillId="0" borderId="10" xfId="0" applyFont="1" applyBorder="1" applyAlignment="1">
      <alignment vertical="top"/>
    </xf>
    <xf numFmtId="0" fontId="4" fillId="0" borderId="10" xfId="0" applyFont="1" applyBorder="1" applyAlignment="1">
      <alignment horizontal="left" vertical="top"/>
    </xf>
    <xf numFmtId="0" fontId="4" fillId="0" borderId="0" xfId="0" applyFont="1" applyAlignment="1">
      <alignment horizontal="right" vertical="top" wrapText="1"/>
    </xf>
    <xf numFmtId="0" fontId="4" fillId="8" borderId="10" xfId="0" applyFont="1" applyFill="1" applyBorder="1" applyAlignment="1" applyProtection="1">
      <alignment vertical="top" wrapText="1"/>
      <protection locked="0"/>
    </xf>
    <xf numFmtId="0" fontId="4" fillId="0" borderId="0" xfId="0" applyFont="1" applyAlignment="1">
      <alignment horizontal="center"/>
    </xf>
    <xf numFmtId="0" fontId="4" fillId="0" borderId="14" xfId="0" applyFont="1" applyBorder="1" applyAlignment="1">
      <alignment horizontal="right" indent="1"/>
    </xf>
    <xf numFmtId="0" fontId="4" fillId="8" borderId="14" xfId="0" applyFont="1" applyFill="1" applyBorder="1" applyAlignment="1" applyProtection="1">
      <alignment horizontal="center"/>
      <protection locked="0"/>
    </xf>
    <xf numFmtId="0" fontId="4" fillId="0" borderId="15" xfId="0" applyFont="1" applyBorder="1" applyAlignment="1">
      <alignment horizontal="right" indent="1"/>
    </xf>
    <xf numFmtId="0" fontId="4" fillId="8" borderId="15" xfId="0" applyFont="1" applyFill="1" applyBorder="1" applyAlignment="1" applyProtection="1">
      <alignment horizontal="center"/>
      <protection locked="0"/>
    </xf>
    <xf numFmtId="0" fontId="4" fillId="0" borderId="16" xfId="0" applyFont="1" applyBorder="1" applyAlignment="1">
      <alignment horizontal="right" indent="1"/>
    </xf>
    <xf numFmtId="0" fontId="4" fillId="8" borderId="16" xfId="0" applyFont="1" applyFill="1" applyBorder="1" applyAlignment="1" applyProtection="1">
      <alignment horizontal="center"/>
      <protection locked="0"/>
    </xf>
    <xf numFmtId="0" fontId="4" fillId="0" borderId="17" xfId="0" applyFont="1" applyBorder="1" applyAlignment="1">
      <alignment horizontal="right" indent="1"/>
    </xf>
    <xf numFmtId="0" fontId="4" fillId="8" borderId="18" xfId="0" applyFont="1" applyFill="1" applyBorder="1" applyAlignment="1">
      <alignment horizontal="center"/>
    </xf>
    <xf numFmtId="0" fontId="4" fillId="8" borderId="14" xfId="0" applyFont="1" applyFill="1" applyBorder="1" applyAlignment="1">
      <alignment horizontal="center"/>
    </xf>
    <xf numFmtId="0" fontId="4" fillId="0" borderId="19" xfId="0" applyFont="1" applyBorder="1" applyAlignment="1">
      <alignment horizontal="right" indent="1"/>
    </xf>
    <xf numFmtId="0" fontId="4" fillId="8" borderId="20" xfId="0" applyFont="1" applyFill="1" applyBorder="1" applyAlignment="1">
      <alignment horizontal="center"/>
    </xf>
    <xf numFmtId="0" fontId="4" fillId="8" borderId="15" xfId="0" applyFont="1" applyFill="1" applyBorder="1" applyAlignment="1">
      <alignment horizontal="center"/>
    </xf>
    <xf numFmtId="0" fontId="4" fillId="0" borderId="21" xfId="0" applyFont="1" applyBorder="1" applyAlignment="1">
      <alignment horizontal="right" indent="1"/>
    </xf>
    <xf numFmtId="0" fontId="4" fillId="8" borderId="22" xfId="0" applyFont="1" applyFill="1" applyBorder="1" applyAlignment="1">
      <alignment horizontal="center"/>
    </xf>
    <xf numFmtId="0" fontId="4" fillId="8" borderId="16" xfId="0" applyFont="1" applyFill="1" applyBorder="1" applyAlignment="1">
      <alignment horizontal="center"/>
    </xf>
    <xf numFmtId="0" fontId="4" fillId="25" borderId="18" xfId="0" applyFont="1" applyFill="1" applyBorder="1" applyAlignment="1">
      <alignment horizontal="center"/>
    </xf>
    <xf numFmtId="0" fontId="4" fillId="25" borderId="14" xfId="0" applyFont="1" applyFill="1" applyBorder="1" applyAlignment="1">
      <alignment horizontal="center"/>
    </xf>
    <xf numFmtId="0" fontId="4" fillId="25" borderId="20" xfId="0" applyFont="1" applyFill="1" applyBorder="1" applyAlignment="1">
      <alignment horizontal="center"/>
    </xf>
    <xf numFmtId="0" fontId="4" fillId="25" borderId="15" xfId="0" applyFont="1" applyFill="1" applyBorder="1" applyAlignment="1">
      <alignment horizontal="center"/>
    </xf>
    <xf numFmtId="0" fontId="4" fillId="25" borderId="22" xfId="0" applyFont="1" applyFill="1" applyBorder="1" applyAlignment="1">
      <alignment horizontal="center"/>
    </xf>
    <xf numFmtId="0" fontId="4" fillId="25" borderId="16" xfId="0" applyFont="1" applyFill="1" applyBorder="1" applyAlignment="1">
      <alignment horizontal="center"/>
    </xf>
    <xf numFmtId="0" fontId="4" fillId="0" borderId="0" xfId="0" applyFont="1" applyBorder="1" applyAlignment="1">
      <alignment horizontal="center"/>
    </xf>
    <xf numFmtId="0" fontId="4" fillId="8" borderId="18" xfId="0" applyFont="1" applyFill="1" applyBorder="1" applyAlignment="1" applyProtection="1">
      <alignment horizontal="center"/>
      <protection locked="0"/>
    </xf>
    <xf numFmtId="0" fontId="4" fillId="8" borderId="20" xfId="0" applyFont="1" applyFill="1" applyBorder="1" applyAlignment="1" applyProtection="1">
      <alignment horizontal="center"/>
      <protection locked="0"/>
    </xf>
    <xf numFmtId="0" fontId="4" fillId="8" borderId="22" xfId="0" applyFont="1" applyFill="1" applyBorder="1" applyAlignment="1" applyProtection="1">
      <alignment horizontal="center"/>
      <protection locked="0"/>
    </xf>
    <xf numFmtId="0" fontId="4" fillId="0" borderId="17" xfId="0" applyFont="1" applyBorder="1" applyAlignment="1">
      <alignment horizontal="right"/>
    </xf>
    <xf numFmtId="0" fontId="4" fillId="0" borderId="19" xfId="0" applyFont="1" applyBorder="1" applyAlignment="1">
      <alignment horizontal="right"/>
    </xf>
    <xf numFmtId="0" fontId="4" fillId="0" borderId="21" xfId="0" applyFont="1" applyBorder="1" applyAlignment="1">
      <alignment horizontal="right"/>
    </xf>
    <xf numFmtId="0" fontId="12" fillId="26" borderId="23" xfId="0" applyFont="1" applyFill="1" applyBorder="1" applyAlignment="1">
      <alignment horizontal="center" vertical="center"/>
    </xf>
    <xf numFmtId="0" fontId="12" fillId="26" borderId="18" xfId="0" applyFont="1" applyFill="1" applyBorder="1" applyAlignment="1">
      <alignment horizontal="center" vertical="center"/>
    </xf>
    <xf numFmtId="0" fontId="12" fillId="26" borderId="24" xfId="0" applyFont="1" applyFill="1" applyBorder="1" applyAlignment="1">
      <alignment horizontal="center" vertical="center"/>
    </xf>
    <xf numFmtId="0" fontId="12" fillId="26" borderId="22" xfId="0" applyFont="1" applyFill="1" applyBorder="1" applyAlignment="1">
      <alignment horizontal="center" vertical="center"/>
    </xf>
    <xf numFmtId="0" fontId="12" fillId="26" borderId="17" xfId="0" applyFont="1" applyFill="1" applyBorder="1" applyAlignment="1">
      <alignment horizontal="right" vertical="center"/>
    </xf>
    <xf numFmtId="0" fontId="12" fillId="26" borderId="21" xfId="0" applyFont="1" applyFill="1" applyBorder="1" applyAlignment="1">
      <alignment horizontal="right" vertical="center"/>
    </xf>
    <xf numFmtId="0" fontId="12" fillId="26" borderId="19" xfId="0" applyFont="1" applyFill="1" applyBorder="1" applyAlignment="1">
      <alignment horizontal="right" vertical="center"/>
    </xf>
    <xf numFmtId="0" fontId="12" fillId="26" borderId="0" xfId="0" applyFont="1" applyFill="1" applyBorder="1" applyAlignment="1">
      <alignment horizontal="center" vertical="center"/>
    </xf>
    <xf numFmtId="0" fontId="12" fillId="26" borderId="20" xfId="0" applyFont="1" applyFill="1" applyBorder="1" applyAlignment="1">
      <alignment horizontal="center" vertical="center"/>
    </xf>
    <xf numFmtId="0" fontId="4" fillId="8" borderId="12" xfId="0" applyFont="1" applyFill="1" applyBorder="1" applyAlignment="1" applyProtection="1">
      <alignment horizontal="center"/>
      <protection locked="0"/>
    </xf>
    <xf numFmtId="0" fontId="4" fillId="8" borderId="10" xfId="0" applyFont="1" applyFill="1" applyBorder="1" applyAlignment="1" applyProtection="1">
      <alignment horizontal="center"/>
      <protection locked="0"/>
    </xf>
    <xf numFmtId="0" fontId="12" fillId="0" borderId="25" xfId="0" applyFont="1" applyBorder="1" applyAlignment="1">
      <alignment horizontal="right"/>
    </xf>
    <xf numFmtId="0" fontId="12" fillId="0" borderId="25" xfId="0" applyFont="1" applyBorder="1" applyAlignment="1">
      <alignment horizontal="center"/>
    </xf>
    <xf numFmtId="0" fontId="12" fillId="0" borderId="26" xfId="0" applyFont="1" applyBorder="1" applyAlignment="1">
      <alignment horizontal="right"/>
    </xf>
    <xf numFmtId="0" fontId="12" fillId="0" borderId="26" xfId="0" applyFont="1" applyBorder="1" applyAlignment="1">
      <alignment horizontal="center"/>
    </xf>
    <xf numFmtId="0" fontId="12" fillId="0" borderId="27" xfId="0" applyFont="1" applyBorder="1" applyAlignment="1">
      <alignment horizontal="right"/>
    </xf>
    <xf numFmtId="0" fontId="12" fillId="0" borderId="27" xfId="0" applyFont="1" applyBorder="1" applyAlignment="1">
      <alignment horizontal="center"/>
    </xf>
    <xf numFmtId="170" fontId="12" fillId="0" borderId="0" xfId="0" applyNumberFormat="1" applyFont="1" applyAlignment="1">
      <alignment horizontal="right"/>
    </xf>
    <xf numFmtId="0" fontId="12" fillId="0" borderId="0" xfId="0" applyFont="1" applyAlignment="1">
      <alignment horizontal="center"/>
    </xf>
    <xf numFmtId="171" fontId="12" fillId="0" borderId="0" xfId="0" applyNumberFormat="1" applyFont="1" applyAlignment="1">
      <alignment horizontal="right"/>
    </xf>
    <xf numFmtId="0" fontId="17" fillId="20" borderId="28" xfId="0" applyFont="1" applyFill="1" applyBorder="1" applyAlignment="1">
      <alignment horizontal="center" vertical="center"/>
    </xf>
    <xf numFmtId="0" fontId="6" fillId="0" borderId="0" xfId="0" applyFont="1" applyAlignment="1">
      <alignment horizontal="left"/>
    </xf>
    <xf numFmtId="0" fontId="4" fillId="0" borderId="0" xfId="0" applyFont="1" applyBorder="1" applyAlignment="1">
      <alignment horizontal="right"/>
    </xf>
    <xf numFmtId="0" fontId="4" fillId="0" borderId="0" xfId="0" applyFont="1" applyAlignment="1">
      <alignment horizontal="right"/>
    </xf>
    <xf numFmtId="0" fontId="18" fillId="0" borderId="0" xfId="0" applyFont="1" applyBorder="1" applyAlignment="1">
      <alignment horizontal="right" vertical="center"/>
    </xf>
    <xf numFmtId="0" fontId="19" fillId="0" borderId="0" xfId="0" applyFont="1" applyBorder="1" applyAlignment="1">
      <alignment horizontal="center"/>
    </xf>
    <xf numFmtId="0" fontId="19" fillId="0" borderId="0" xfId="0" applyFont="1" applyBorder="1" applyAlignment="1">
      <alignment/>
    </xf>
    <xf numFmtId="0" fontId="4" fillId="0" borderId="0" xfId="0" applyFont="1" applyFill="1" applyBorder="1" applyAlignment="1">
      <alignment vertical="center"/>
    </xf>
    <xf numFmtId="0" fontId="14" fillId="0" borderId="0" xfId="0" applyFont="1" applyFill="1" applyBorder="1" applyAlignment="1">
      <alignment vertical="center"/>
    </xf>
    <xf numFmtId="0" fontId="8" fillId="0" borderId="0" xfId="0" applyFont="1" applyAlignment="1">
      <alignment vertical="top" wrapText="1"/>
    </xf>
    <xf numFmtId="0" fontId="22" fillId="0" borderId="0" xfId="48" applyFont="1" applyAlignment="1" applyProtection="1">
      <alignment vertical="top" wrapText="1"/>
      <protection/>
    </xf>
    <xf numFmtId="0" fontId="4" fillId="0" borderId="0" xfId="0" applyFont="1" applyAlignment="1" applyProtection="1">
      <alignment vertical="center"/>
      <protection/>
    </xf>
    <xf numFmtId="0" fontId="4" fillId="0" borderId="0" xfId="0" applyFont="1" applyBorder="1" applyAlignment="1" applyProtection="1">
      <alignment vertical="center"/>
      <protection/>
    </xf>
    <xf numFmtId="0" fontId="4" fillId="24" borderId="0" xfId="0" applyFont="1" applyFill="1" applyBorder="1" applyAlignment="1" applyProtection="1">
      <alignment horizontal="left" vertical="center"/>
      <protection/>
    </xf>
    <xf numFmtId="0" fontId="4" fillId="0" borderId="0" xfId="0" applyFont="1" applyBorder="1" applyAlignment="1" applyProtection="1">
      <alignment horizontal="right" vertical="center" indent="1"/>
      <protection/>
    </xf>
    <xf numFmtId="0" fontId="4" fillId="24" borderId="23" xfId="0" applyFont="1" applyFill="1" applyBorder="1" applyAlignment="1" applyProtection="1">
      <alignment horizontal="right" vertical="center"/>
      <protection/>
    </xf>
    <xf numFmtId="0" fontId="9" fillId="8" borderId="14" xfId="0" applyFont="1" applyFill="1" applyBorder="1" applyAlignment="1" applyProtection="1">
      <alignment horizontal="center" vertical="center"/>
      <protection/>
    </xf>
    <xf numFmtId="0" fontId="4" fillId="24" borderId="17" xfId="0" applyFont="1" applyFill="1" applyBorder="1" applyAlignment="1" applyProtection="1">
      <alignment vertical="center"/>
      <protection/>
    </xf>
    <xf numFmtId="0" fontId="4" fillId="0" borderId="0" xfId="0" applyFont="1" applyAlignment="1" applyProtection="1">
      <alignment horizontal="left" vertical="center"/>
      <protection/>
    </xf>
    <xf numFmtId="0" fontId="4" fillId="24" borderId="0" xfId="0" applyFont="1" applyFill="1" applyBorder="1" applyAlignment="1" applyProtection="1">
      <alignment horizontal="right" vertical="center"/>
      <protection/>
    </xf>
    <xf numFmtId="0" fontId="9" fillId="8" borderId="15" xfId="0" applyFont="1" applyFill="1" applyBorder="1" applyAlignment="1" applyProtection="1">
      <alignment horizontal="center" vertical="center"/>
      <protection/>
    </xf>
    <xf numFmtId="0" fontId="4" fillId="24" borderId="19" xfId="0" applyFont="1" applyFill="1" applyBorder="1" applyAlignment="1" applyProtection="1">
      <alignment vertical="center"/>
      <protection/>
    </xf>
    <xf numFmtId="0" fontId="4" fillId="24" borderId="21" xfId="0" applyFont="1" applyFill="1" applyBorder="1" applyAlignment="1" applyProtection="1">
      <alignment vertical="center"/>
      <protection/>
    </xf>
    <xf numFmtId="0" fontId="4" fillId="24" borderId="24" xfId="0" applyFont="1" applyFill="1" applyBorder="1" applyAlignment="1" applyProtection="1">
      <alignment horizontal="right" vertical="center"/>
      <protection/>
    </xf>
    <xf numFmtId="0" fontId="9" fillId="8" borderId="16" xfId="0" applyFont="1" applyFill="1" applyBorder="1" applyAlignment="1" applyProtection="1">
      <alignment horizontal="center" vertical="center"/>
      <protection/>
    </xf>
    <xf numFmtId="0" fontId="9" fillId="25" borderId="14" xfId="0" applyFont="1" applyFill="1" applyBorder="1" applyAlignment="1" applyProtection="1">
      <alignment horizontal="center" vertical="center"/>
      <protection/>
    </xf>
    <xf numFmtId="0" fontId="9" fillId="25" borderId="15" xfId="0" applyFont="1" applyFill="1" applyBorder="1" applyAlignment="1" applyProtection="1">
      <alignment horizontal="center" vertical="center"/>
      <protection/>
    </xf>
    <xf numFmtId="0" fontId="9" fillId="25" borderId="16" xfId="0" applyFont="1" applyFill="1" applyBorder="1" applyAlignment="1" applyProtection="1">
      <alignment horizontal="center" vertical="center"/>
      <protection/>
    </xf>
    <xf numFmtId="0" fontId="12" fillId="26" borderId="19" xfId="0" applyFont="1" applyFill="1" applyBorder="1" applyAlignment="1" applyProtection="1">
      <alignment vertical="center"/>
      <protection/>
    </xf>
    <xf numFmtId="0" fontId="12" fillId="26" borderId="0" xfId="0" applyFont="1" applyFill="1" applyBorder="1" applyAlignment="1" applyProtection="1">
      <alignment horizontal="right" vertical="center"/>
      <protection/>
    </xf>
    <xf numFmtId="0" fontId="13" fillId="26" borderId="20" xfId="0" applyFont="1" applyFill="1" applyBorder="1" applyAlignment="1" applyProtection="1">
      <alignment horizontal="center" vertical="center"/>
      <protection/>
    </xf>
    <xf numFmtId="0" fontId="9" fillId="8" borderId="18" xfId="0" applyFont="1" applyFill="1" applyBorder="1" applyAlignment="1" applyProtection="1">
      <alignment horizontal="center" vertical="center"/>
      <protection/>
    </xf>
    <xf numFmtId="0" fontId="9" fillId="8" borderId="20" xfId="0" applyFont="1" applyFill="1" applyBorder="1" applyAlignment="1" applyProtection="1">
      <alignment horizontal="center" vertical="center"/>
      <protection/>
    </xf>
    <xf numFmtId="0" fontId="9" fillId="8" borderId="22" xfId="0" applyFont="1" applyFill="1" applyBorder="1" applyAlignment="1" applyProtection="1">
      <alignment horizontal="center" vertical="center"/>
      <protection/>
    </xf>
    <xf numFmtId="0" fontId="9" fillId="8" borderId="10" xfId="0" applyFont="1" applyFill="1" applyBorder="1" applyAlignment="1" applyProtection="1">
      <alignment horizontal="center" vertical="center"/>
      <protection/>
    </xf>
    <xf numFmtId="0" fontId="16" fillId="23" borderId="0" xfId="0" applyFont="1" applyFill="1" applyBorder="1" applyAlignment="1" applyProtection="1">
      <alignment vertical="center"/>
      <protection locked="0"/>
    </xf>
    <xf numFmtId="0" fontId="16" fillId="23" borderId="0" xfId="0" applyFont="1" applyFill="1" applyBorder="1" applyAlignment="1" applyProtection="1">
      <alignment horizontal="center" vertical="center"/>
      <protection locked="0"/>
    </xf>
    <xf numFmtId="0" fontId="4" fillId="0" borderId="10" xfId="0" applyFont="1" applyBorder="1" applyAlignment="1" applyProtection="1">
      <alignment horizontal="center" vertical="top"/>
      <protection locked="0"/>
    </xf>
    <xf numFmtId="0" fontId="4" fillId="0" borderId="0" xfId="0" applyFont="1" applyAlignment="1" applyProtection="1" quotePrefix="1">
      <alignment vertical="center"/>
      <protection/>
    </xf>
    <xf numFmtId="0" fontId="9" fillId="8" borderId="10" xfId="0" applyFont="1" applyFill="1" applyBorder="1" applyAlignment="1">
      <alignment horizontal="center" vertical="top"/>
    </xf>
    <xf numFmtId="0" fontId="5" fillId="0" borderId="0" xfId="0" applyFont="1" applyAlignment="1">
      <alignment horizontal="left"/>
    </xf>
    <xf numFmtId="0" fontId="6" fillId="0" borderId="0" xfId="0" applyFont="1" applyFill="1" applyBorder="1" applyAlignment="1">
      <alignment horizontal="left" vertical="center"/>
    </xf>
    <xf numFmtId="0" fontId="6" fillId="0" borderId="0" xfId="0" applyFont="1" applyFill="1" applyBorder="1" applyAlignment="1">
      <alignment vertical="center"/>
    </xf>
    <xf numFmtId="0" fontId="4" fillId="0" borderId="0" xfId="0" applyFont="1" applyFill="1" applyBorder="1" applyAlignment="1">
      <alignment horizontal="right" vertical="center"/>
    </xf>
    <xf numFmtId="0" fontId="8" fillId="0" borderId="0" xfId="0" applyFont="1" applyFill="1" applyBorder="1" applyAlignment="1">
      <alignment horizontal="right" vertical="center"/>
    </xf>
    <xf numFmtId="0" fontId="4" fillId="0" borderId="0" xfId="0" applyFont="1" applyFill="1" applyAlignment="1">
      <alignment vertical="center"/>
    </xf>
    <xf numFmtId="0" fontId="19" fillId="0" borderId="0" xfId="0" applyFont="1" applyFill="1" applyAlignment="1">
      <alignment vertical="center"/>
    </xf>
    <xf numFmtId="0" fontId="19" fillId="0" borderId="0" xfId="0" applyFont="1" applyAlignment="1">
      <alignment vertical="center"/>
    </xf>
    <xf numFmtId="0" fontId="0" fillId="0" borderId="0" xfId="0" applyAlignment="1">
      <alignment vertical="center"/>
    </xf>
    <xf numFmtId="0" fontId="19" fillId="0" borderId="0" xfId="0" applyFont="1" applyFill="1" applyBorder="1" applyAlignment="1">
      <alignment vertical="center"/>
    </xf>
    <xf numFmtId="0" fontId="4" fillId="8" borderId="29" xfId="0" applyFont="1" applyFill="1" applyBorder="1" applyAlignment="1">
      <alignment horizontal="left" vertical="center"/>
    </xf>
    <xf numFmtId="0" fontId="4" fillId="8" borderId="30" xfId="0" applyFont="1" applyFill="1" applyBorder="1" applyAlignment="1">
      <alignment horizontal="left" vertical="center"/>
    </xf>
    <xf numFmtId="0" fontId="4" fillId="8" borderId="31" xfId="0" applyFont="1" applyFill="1" applyBorder="1" applyAlignment="1">
      <alignment horizontal="left" vertical="center"/>
    </xf>
    <xf numFmtId="0" fontId="3" fillId="0" borderId="0" xfId="0" applyFont="1" applyAlignment="1">
      <alignment vertical="center"/>
    </xf>
    <xf numFmtId="0" fontId="4" fillId="0" borderId="24" xfId="0" applyFont="1" applyBorder="1" applyAlignment="1">
      <alignment horizontal="left" vertical="top"/>
    </xf>
    <xf numFmtId="0" fontId="9" fillId="0" borderId="24" xfId="0" applyFont="1" applyBorder="1" applyAlignment="1" applyProtection="1">
      <alignment vertical="center"/>
      <protection/>
    </xf>
    <xf numFmtId="0" fontId="4" fillId="0" borderId="0" xfId="0" applyFont="1" applyBorder="1" applyAlignment="1" applyProtection="1">
      <alignment horizontal="right" vertical="center"/>
      <protection/>
    </xf>
    <xf numFmtId="0" fontId="4" fillId="0" borderId="0" xfId="0" applyFont="1" applyBorder="1" applyAlignment="1" applyProtection="1">
      <alignment horizontal="right"/>
      <protection/>
    </xf>
    <xf numFmtId="0" fontId="4" fillId="0" borderId="0" xfId="0" applyFont="1" applyFill="1" applyBorder="1" applyAlignment="1">
      <alignment horizontal="left" vertical="center"/>
    </xf>
    <xf numFmtId="0" fontId="4" fillId="0" borderId="0" xfId="0" applyFont="1" applyAlignment="1">
      <alignment/>
    </xf>
    <xf numFmtId="0" fontId="5" fillId="0" borderId="0" xfId="0" applyFont="1" applyAlignment="1">
      <alignment/>
    </xf>
    <xf numFmtId="0" fontId="4" fillId="7" borderId="10" xfId="0" applyFont="1" applyFill="1" applyBorder="1" applyAlignment="1">
      <alignment horizontal="center" vertical="top" wrapText="1"/>
    </xf>
    <xf numFmtId="0" fontId="4" fillId="0" borderId="0" xfId="0" applyFont="1" applyAlignment="1" applyProtection="1">
      <alignment horizontal="right" vertical="center"/>
      <protection/>
    </xf>
    <xf numFmtId="0" fontId="4" fillId="0" borderId="0" xfId="0" applyFont="1" applyBorder="1" applyAlignment="1" applyProtection="1">
      <alignment horizontal="left" vertical="center"/>
      <protection/>
    </xf>
    <xf numFmtId="0" fontId="4" fillId="8" borderId="29" xfId="0" applyFont="1" applyFill="1" applyBorder="1" applyAlignment="1">
      <alignment vertical="center"/>
    </xf>
    <xf numFmtId="0" fontId="4" fillId="8" borderId="30" xfId="0" applyFont="1" applyFill="1" applyBorder="1" applyAlignment="1">
      <alignment vertical="center"/>
    </xf>
    <xf numFmtId="0" fontId="4" fillId="8" borderId="31" xfId="0" applyFont="1" applyFill="1" applyBorder="1" applyAlignment="1">
      <alignment vertical="center"/>
    </xf>
    <xf numFmtId="0" fontId="4" fillId="25" borderId="29" xfId="0" applyFont="1" applyFill="1" applyBorder="1" applyAlignment="1">
      <alignment vertical="center"/>
    </xf>
    <xf numFmtId="0" fontId="4" fillId="25" borderId="30" xfId="0" applyFont="1" applyFill="1" applyBorder="1" applyAlignment="1">
      <alignment vertical="center"/>
    </xf>
    <xf numFmtId="0" fontId="4" fillId="20" borderId="29" xfId="0" applyFont="1" applyFill="1" applyBorder="1" applyAlignment="1">
      <alignment vertical="center"/>
    </xf>
    <xf numFmtId="0" fontId="4" fillId="20" borderId="30" xfId="0" applyFont="1" applyFill="1" applyBorder="1" applyAlignment="1">
      <alignment vertical="center"/>
    </xf>
    <xf numFmtId="0" fontId="4" fillId="20" borderId="31" xfId="0" applyFont="1" applyFill="1" applyBorder="1" applyAlignment="1">
      <alignment vertical="center"/>
    </xf>
    <xf numFmtId="0" fontId="6" fillId="0" borderId="0" xfId="0" applyFont="1" applyBorder="1" applyAlignment="1" applyProtection="1">
      <alignment vertical="center"/>
      <protection/>
    </xf>
    <xf numFmtId="0" fontId="9" fillId="0" borderId="0" xfId="0" applyFont="1" applyBorder="1" applyAlignment="1" applyProtection="1">
      <alignment vertical="center"/>
      <protection/>
    </xf>
    <xf numFmtId="0" fontId="4" fillId="0" borderId="11" xfId="0" applyFont="1" applyBorder="1" applyAlignment="1">
      <alignment horizontal="left" vertical="top"/>
    </xf>
    <xf numFmtId="0" fontId="3" fillId="0" borderId="32" xfId="0" applyFont="1" applyBorder="1" applyAlignment="1">
      <alignment vertical="center"/>
    </xf>
    <xf numFmtId="0" fontId="4" fillId="21" borderId="18" xfId="0" applyFont="1" applyFill="1" applyBorder="1" applyAlignment="1" applyProtection="1">
      <alignment horizontal="right" vertical="center"/>
      <protection locked="0"/>
    </xf>
    <xf numFmtId="0" fontId="4" fillId="21" borderId="20" xfId="0" applyFont="1" applyFill="1" applyBorder="1" applyAlignment="1" applyProtection="1">
      <alignment horizontal="right" vertical="center"/>
      <protection locked="0"/>
    </xf>
    <xf numFmtId="0" fontId="4" fillId="21" borderId="22" xfId="0" applyFont="1" applyFill="1" applyBorder="1" applyAlignment="1" applyProtection="1">
      <alignment horizontal="right" vertical="center"/>
      <protection locked="0"/>
    </xf>
    <xf numFmtId="0" fontId="0" fillId="0" borderId="10" xfId="0" applyBorder="1" applyAlignment="1">
      <alignment horizontal="center" vertical="top"/>
    </xf>
    <xf numFmtId="0" fontId="27" fillId="0" borderId="0" xfId="0" applyFont="1" applyFill="1" applyBorder="1" applyAlignment="1">
      <alignment horizontal="left" vertical="center"/>
    </xf>
    <xf numFmtId="0" fontId="4" fillId="0" borderId="0" xfId="0" applyFont="1" applyBorder="1" applyAlignment="1">
      <alignment vertical="top"/>
    </xf>
    <xf numFmtId="0" fontId="12" fillId="26" borderId="0" xfId="0" applyFont="1" applyFill="1" applyBorder="1" applyAlignment="1" applyProtection="1">
      <alignment horizontal="right" vertical="center"/>
      <protection locked="0"/>
    </xf>
    <xf numFmtId="0" fontId="9" fillId="0" borderId="24" xfId="0" applyFont="1" applyBorder="1" applyAlignment="1" applyProtection="1">
      <alignment horizontal="right" vertical="center"/>
      <protection/>
    </xf>
    <xf numFmtId="0" fontId="4" fillId="21" borderId="14" xfId="0" applyFont="1" applyFill="1" applyBorder="1" applyAlignment="1" applyProtection="1">
      <alignment horizontal="right" vertical="center"/>
      <protection locked="0"/>
    </xf>
    <xf numFmtId="0" fontId="4" fillId="21" borderId="15" xfId="0" applyFont="1" applyFill="1" applyBorder="1" applyAlignment="1" applyProtection="1">
      <alignment horizontal="right" vertical="center"/>
      <protection locked="0"/>
    </xf>
    <xf numFmtId="0" fontId="4" fillId="21" borderId="16" xfId="0" applyFont="1" applyFill="1" applyBorder="1" applyAlignment="1" applyProtection="1">
      <alignment horizontal="right" vertical="center"/>
      <protection locked="0"/>
    </xf>
    <xf numFmtId="0" fontId="4" fillId="0" borderId="0" xfId="0" applyFont="1" applyBorder="1" applyAlignment="1">
      <alignment horizontal="left" vertical="top"/>
    </xf>
    <xf numFmtId="0" fontId="4" fillId="23" borderId="14" xfId="0" applyFont="1" applyFill="1" applyBorder="1" applyAlignment="1" applyProtection="1">
      <alignment horizontal="left" vertical="center"/>
      <protection/>
    </xf>
    <xf numFmtId="0" fontId="4" fillId="23" borderId="15" xfId="0" applyFont="1" applyFill="1" applyBorder="1" applyAlignment="1" applyProtection="1">
      <alignment horizontal="left" vertical="center"/>
      <protection/>
    </xf>
    <xf numFmtId="0" fontId="4" fillId="23" borderId="16" xfId="0" applyFont="1" applyFill="1" applyBorder="1" applyAlignment="1" applyProtection="1">
      <alignment horizontal="left" vertical="center"/>
      <protection/>
    </xf>
    <xf numFmtId="0" fontId="4" fillId="0" borderId="33" xfId="0" applyFont="1" applyBorder="1" applyAlignment="1" applyProtection="1">
      <alignment vertical="center"/>
      <protection/>
    </xf>
    <xf numFmtId="0" fontId="4" fillId="0" borderId="34" xfId="0" applyFont="1" applyBorder="1" applyAlignment="1" applyProtection="1">
      <alignment vertical="center"/>
      <protection/>
    </xf>
    <xf numFmtId="0" fontId="4" fillId="0" borderId="35" xfId="0" applyFont="1" applyBorder="1" applyAlignment="1" applyProtection="1">
      <alignment vertical="center"/>
      <protection/>
    </xf>
    <xf numFmtId="0" fontId="4" fillId="0" borderId="36" xfId="0" applyFont="1" applyBorder="1" applyAlignment="1" applyProtection="1">
      <alignment vertical="center"/>
      <protection/>
    </xf>
    <xf numFmtId="0" fontId="4" fillId="0" borderId="0" xfId="0" applyFont="1" applyBorder="1" applyAlignment="1" applyProtection="1">
      <alignment horizontal="center" vertical="center"/>
      <protection/>
    </xf>
    <xf numFmtId="0" fontId="4" fillId="0" borderId="37" xfId="0" applyFont="1" applyBorder="1" applyAlignment="1" applyProtection="1">
      <alignment vertical="center"/>
      <protection/>
    </xf>
    <xf numFmtId="0" fontId="4" fillId="24" borderId="37" xfId="0" applyFont="1" applyFill="1" applyBorder="1" applyAlignment="1" applyProtection="1">
      <alignment horizontal="left" vertical="center"/>
      <protection/>
    </xf>
    <xf numFmtId="0" fontId="4" fillId="0" borderId="38" xfId="0" applyFont="1" applyBorder="1" applyAlignment="1" applyProtection="1">
      <alignment vertical="center"/>
      <protection/>
    </xf>
    <xf numFmtId="0" fontId="4" fillId="0" borderId="39" xfId="0" applyFont="1" applyBorder="1" applyAlignment="1" applyProtection="1">
      <alignment vertical="center"/>
      <protection/>
    </xf>
    <xf numFmtId="0" fontId="4" fillId="0" borderId="40" xfId="0" applyFont="1" applyBorder="1" applyAlignment="1" applyProtection="1">
      <alignment vertical="center"/>
      <protection/>
    </xf>
    <xf numFmtId="0" fontId="9" fillId="0" borderId="0" xfId="0" applyFont="1" applyBorder="1" applyAlignment="1" applyProtection="1">
      <alignment horizontal="right" vertical="center"/>
      <protection/>
    </xf>
    <xf numFmtId="0" fontId="4" fillId="0" borderId="34" xfId="0" applyFont="1" applyBorder="1" applyAlignment="1" applyProtection="1">
      <alignment horizontal="right" vertical="center"/>
      <protection/>
    </xf>
    <xf numFmtId="0" fontId="4" fillId="24" borderId="35" xfId="0" applyFont="1" applyFill="1" applyBorder="1" applyAlignment="1" applyProtection="1">
      <alignment horizontal="left" vertical="center"/>
      <protection/>
    </xf>
    <xf numFmtId="0" fontId="6" fillId="0" borderId="37" xfId="0" applyFont="1" applyBorder="1" applyAlignment="1" applyProtection="1">
      <alignment vertical="center"/>
      <protection/>
    </xf>
    <xf numFmtId="0" fontId="4" fillId="0" borderId="37" xfId="0" applyFont="1" applyBorder="1" applyAlignment="1" applyProtection="1">
      <alignment horizontal="left" vertical="center"/>
      <protection/>
    </xf>
    <xf numFmtId="0" fontId="4" fillId="0" borderId="40" xfId="0" applyFont="1" applyBorder="1" applyAlignment="1" applyProtection="1">
      <alignment horizontal="left" vertical="center"/>
      <protection/>
    </xf>
    <xf numFmtId="0" fontId="4" fillId="0" borderId="35" xfId="0" applyFont="1" applyBorder="1" applyAlignment="1" applyProtection="1">
      <alignment horizontal="left" vertical="center"/>
      <protection/>
    </xf>
    <xf numFmtId="0" fontId="11" fillId="0" borderId="0" xfId="0" applyFont="1" applyBorder="1" applyAlignment="1" applyProtection="1">
      <alignment vertical="center"/>
      <protection/>
    </xf>
    <xf numFmtId="0" fontId="4" fillId="24" borderId="18" xfId="0" applyFont="1" applyFill="1" applyBorder="1" applyAlignment="1" applyProtection="1">
      <alignment horizontal="right" vertical="center"/>
      <protection/>
    </xf>
    <xf numFmtId="0" fontId="4" fillId="24" borderId="20" xfId="0" applyFont="1" applyFill="1" applyBorder="1" applyAlignment="1" applyProtection="1">
      <alignment horizontal="right" vertical="center"/>
      <protection/>
    </xf>
    <xf numFmtId="0" fontId="4" fillId="24" borderId="22" xfId="0" applyFont="1" applyFill="1" applyBorder="1" applyAlignment="1" applyProtection="1">
      <alignment horizontal="right" vertical="center"/>
      <protection/>
    </xf>
    <xf numFmtId="0" fontId="4" fillId="21" borderId="10" xfId="0" applyFont="1" applyFill="1" applyBorder="1" applyAlignment="1" applyProtection="1">
      <alignment horizontal="right" vertical="center"/>
      <protection locked="0"/>
    </xf>
    <xf numFmtId="0" fontId="4" fillId="24" borderId="11" xfId="0" applyFont="1" applyFill="1" applyBorder="1" applyAlignment="1" applyProtection="1">
      <alignment vertical="center"/>
      <protection/>
    </xf>
    <xf numFmtId="0" fontId="4" fillId="24" borderId="12" xfId="0" applyFont="1" applyFill="1" applyBorder="1" applyAlignment="1" applyProtection="1">
      <alignment horizontal="right" vertical="center"/>
      <protection/>
    </xf>
    <xf numFmtId="0" fontId="29" fillId="26" borderId="0" xfId="0" applyFont="1" applyFill="1" applyBorder="1" applyAlignment="1" applyProtection="1">
      <alignment horizontal="center" vertical="center"/>
      <protection/>
    </xf>
    <xf numFmtId="0" fontId="29" fillId="20" borderId="17" xfId="0" applyFont="1" applyFill="1" applyBorder="1" applyAlignment="1" applyProtection="1">
      <alignment horizontal="center" vertical="center"/>
      <protection/>
    </xf>
    <xf numFmtId="0" fontId="29" fillId="20" borderId="18" xfId="0" applyFont="1" applyFill="1" applyBorder="1" applyAlignment="1" applyProtection="1">
      <alignment horizontal="center" vertical="center"/>
      <protection/>
    </xf>
    <xf numFmtId="0" fontId="29" fillId="20" borderId="21" xfId="0" applyFont="1" applyFill="1" applyBorder="1" applyAlignment="1" applyProtection="1">
      <alignment horizontal="center" vertical="center"/>
      <protection/>
    </xf>
    <xf numFmtId="0" fontId="29" fillId="20" borderId="22" xfId="0" applyFont="1" applyFill="1" applyBorder="1" applyAlignment="1" applyProtection="1">
      <alignment horizontal="center" vertical="center"/>
      <protection/>
    </xf>
    <xf numFmtId="0" fontId="29" fillId="20" borderId="19" xfId="0" applyFont="1" applyFill="1" applyBorder="1" applyAlignment="1" applyProtection="1">
      <alignment horizontal="center" vertical="center"/>
      <protection/>
    </xf>
    <xf numFmtId="0" fontId="29" fillId="20" borderId="20" xfId="0" applyFont="1" applyFill="1" applyBorder="1" applyAlignment="1" applyProtection="1">
      <alignment horizontal="center" vertical="center"/>
      <protection/>
    </xf>
    <xf numFmtId="179" fontId="29" fillId="20" borderId="14" xfId="0" applyNumberFormat="1" applyFont="1" applyFill="1" applyBorder="1" applyAlignment="1" applyProtection="1">
      <alignment horizontal="center" vertical="center"/>
      <protection/>
    </xf>
    <xf numFmtId="179" fontId="29" fillId="20" borderId="15" xfId="0" applyNumberFormat="1" applyFont="1" applyFill="1" applyBorder="1" applyAlignment="1" applyProtection="1">
      <alignment horizontal="center" vertical="center"/>
      <protection/>
    </xf>
    <xf numFmtId="179" fontId="29" fillId="20" borderId="16" xfId="0" applyNumberFormat="1" applyFont="1" applyFill="1" applyBorder="1" applyAlignment="1" applyProtection="1">
      <alignment horizontal="center" vertical="center"/>
      <protection/>
    </xf>
    <xf numFmtId="0" fontId="29" fillId="20" borderId="11" xfId="0" applyFont="1" applyFill="1" applyBorder="1" applyAlignment="1" applyProtection="1">
      <alignment horizontal="center" vertical="center"/>
      <protection/>
    </xf>
    <xf numFmtId="0" fontId="29" fillId="20" borderId="12" xfId="0" applyFont="1" applyFill="1" applyBorder="1" applyAlignment="1" applyProtection="1">
      <alignment horizontal="center" vertical="center"/>
      <protection/>
    </xf>
    <xf numFmtId="179" fontId="29" fillId="20" borderId="17" xfId="0" applyNumberFormat="1" applyFont="1" applyFill="1" applyBorder="1" applyAlignment="1" applyProtection="1">
      <alignment horizontal="center" vertical="center"/>
      <protection/>
    </xf>
    <xf numFmtId="179" fontId="29" fillId="20" borderId="18" xfId="0" applyNumberFormat="1" applyFont="1" applyFill="1" applyBorder="1" applyAlignment="1" applyProtection="1">
      <alignment horizontal="center" vertical="center"/>
      <protection/>
    </xf>
    <xf numFmtId="179" fontId="29" fillId="20" borderId="19" xfId="0" applyNumberFormat="1" applyFont="1" applyFill="1" applyBorder="1" applyAlignment="1" applyProtection="1">
      <alignment horizontal="center" vertical="center"/>
      <protection/>
    </xf>
    <xf numFmtId="179" fontId="29" fillId="20" borderId="20" xfId="0" applyNumberFormat="1" applyFont="1" applyFill="1" applyBorder="1" applyAlignment="1" applyProtection="1">
      <alignment horizontal="center" vertical="center"/>
      <protection/>
    </xf>
    <xf numFmtId="179" fontId="29" fillId="20" borderId="21" xfId="0" applyNumberFormat="1" applyFont="1" applyFill="1" applyBorder="1" applyAlignment="1" applyProtection="1">
      <alignment horizontal="center" vertical="center"/>
      <protection/>
    </xf>
    <xf numFmtId="179" fontId="29" fillId="20" borderId="22" xfId="0" applyNumberFormat="1" applyFont="1" applyFill="1" applyBorder="1" applyAlignment="1" applyProtection="1">
      <alignment horizontal="center" vertical="center"/>
      <protection/>
    </xf>
    <xf numFmtId="0" fontId="4" fillId="24" borderId="19" xfId="0" applyFont="1" applyFill="1" applyBorder="1" applyAlignment="1" applyProtection="1">
      <alignment horizontal="left" vertical="center"/>
      <protection/>
    </xf>
    <xf numFmtId="0" fontId="7" fillId="8" borderId="28" xfId="0" applyFont="1" applyFill="1" applyBorder="1" applyAlignment="1" applyProtection="1">
      <alignment horizontal="center" vertical="center"/>
      <protection/>
    </xf>
    <xf numFmtId="0" fontId="0" fillId="0" borderId="10" xfId="0" applyFont="1" applyBorder="1" applyAlignment="1">
      <alignment horizontal="center" vertical="top"/>
    </xf>
    <xf numFmtId="0" fontId="26" fillId="20" borderId="29" xfId="0" applyFont="1" applyFill="1" applyBorder="1" applyAlignment="1">
      <alignment horizontal="left" vertical="center" indent="1"/>
    </xf>
    <xf numFmtId="0" fontId="24" fillId="20" borderId="30" xfId="0" applyFont="1" applyFill="1" applyBorder="1" applyAlignment="1">
      <alignment vertical="center"/>
    </xf>
    <xf numFmtId="0" fontId="26" fillId="20" borderId="30" xfId="0" applyFont="1" applyFill="1" applyBorder="1" applyAlignment="1">
      <alignment horizontal="left" vertical="center" indent="1"/>
    </xf>
    <xf numFmtId="0" fontId="24" fillId="20" borderId="31" xfId="0" applyFont="1" applyFill="1" applyBorder="1" applyAlignment="1">
      <alignment vertical="center"/>
    </xf>
    <xf numFmtId="0" fontId="9" fillId="0" borderId="0" xfId="0" applyFont="1" applyFill="1" applyBorder="1" applyAlignment="1">
      <alignment vertical="center"/>
    </xf>
    <xf numFmtId="0" fontId="31" fillId="0" borderId="0" xfId="0" applyFont="1" applyFill="1" applyBorder="1" applyAlignment="1">
      <alignment vertical="center"/>
    </xf>
    <xf numFmtId="0" fontId="3" fillId="0" borderId="0" xfId="0" applyFont="1" applyBorder="1" applyAlignment="1">
      <alignment vertical="top" wrapText="1"/>
    </xf>
    <xf numFmtId="0" fontId="4" fillId="0" borderId="0" xfId="0" applyFont="1" applyBorder="1" applyAlignment="1">
      <alignment vertical="top" wrapText="1"/>
    </xf>
    <xf numFmtId="0" fontId="23" fillId="0" borderId="0" xfId="0" applyFont="1" applyBorder="1" applyAlignment="1">
      <alignment vertical="top" wrapText="1"/>
    </xf>
    <xf numFmtId="0" fontId="8" fillId="0" borderId="0" xfId="0" applyFont="1" applyBorder="1" applyAlignment="1">
      <alignment vertical="top" wrapText="1"/>
    </xf>
    <xf numFmtId="0" fontId="3"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5" fillId="0" borderId="0" xfId="0" applyFont="1" applyAlignment="1" applyProtection="1">
      <alignment/>
      <protection/>
    </xf>
    <xf numFmtId="0" fontId="4" fillId="0" borderId="0" xfId="0" applyFont="1" applyAlignment="1" applyProtection="1">
      <alignment/>
      <protection/>
    </xf>
    <xf numFmtId="0" fontId="4" fillId="20" borderId="0" xfId="0" applyFont="1" applyFill="1" applyBorder="1" applyAlignment="1" applyProtection="1">
      <alignment horizontal="right" vertical="center"/>
      <protection/>
    </xf>
    <xf numFmtId="180" fontId="28" fillId="20" borderId="14" xfId="0" applyNumberFormat="1" applyFont="1" applyFill="1" applyBorder="1" applyAlignment="1" applyProtection="1">
      <alignment horizontal="center" vertical="center"/>
      <protection/>
    </xf>
    <xf numFmtId="180" fontId="30" fillId="20" borderId="14" xfId="0" applyNumberFormat="1" applyFont="1" applyFill="1" applyBorder="1" applyAlignment="1" applyProtection="1">
      <alignment horizontal="center" vertical="center"/>
      <protection/>
    </xf>
    <xf numFmtId="0" fontId="0" fillId="23" borderId="14" xfId="0" applyFill="1" applyBorder="1" applyAlignment="1" applyProtection="1">
      <alignment/>
      <protection/>
    </xf>
    <xf numFmtId="180" fontId="28" fillId="20" borderId="15" xfId="0" applyNumberFormat="1" applyFont="1" applyFill="1" applyBorder="1" applyAlignment="1" applyProtection="1">
      <alignment horizontal="center" vertical="center"/>
      <protection/>
    </xf>
    <xf numFmtId="180" fontId="30" fillId="20" borderId="15" xfId="0" applyNumberFormat="1" applyFont="1" applyFill="1" applyBorder="1" applyAlignment="1" applyProtection="1">
      <alignment horizontal="center" vertical="center"/>
      <protection/>
    </xf>
    <xf numFmtId="180" fontId="30" fillId="20" borderId="16" xfId="0" applyNumberFormat="1" applyFont="1" applyFill="1" applyBorder="1" applyAlignment="1" applyProtection="1">
      <alignment horizontal="center" vertical="center"/>
      <protection/>
    </xf>
    <xf numFmtId="180" fontId="28" fillId="20" borderId="16" xfId="0" applyNumberFormat="1" applyFont="1" applyFill="1" applyBorder="1" applyAlignment="1" applyProtection="1">
      <alignment horizontal="center" vertical="center"/>
      <protection/>
    </xf>
    <xf numFmtId="0" fontId="6" fillId="0" borderId="0" xfId="0" applyFont="1" applyFill="1" applyBorder="1" applyAlignment="1" applyProtection="1">
      <alignment horizontal="left" vertical="center"/>
      <protection/>
    </xf>
    <xf numFmtId="0" fontId="30" fillId="20" borderId="14" xfId="0" applyFont="1" applyFill="1" applyBorder="1" applyAlignment="1" applyProtection="1">
      <alignment horizontal="center" vertical="center"/>
      <protection/>
    </xf>
    <xf numFmtId="0" fontId="30" fillId="20" borderId="15" xfId="0" applyFont="1" applyFill="1" applyBorder="1" applyAlignment="1" applyProtection="1">
      <alignment horizontal="center" vertical="center"/>
      <protection/>
    </xf>
    <xf numFmtId="0" fontId="30" fillId="20" borderId="16" xfId="0" applyFont="1" applyFill="1" applyBorder="1" applyAlignment="1" applyProtection="1">
      <alignment horizontal="center" vertical="center"/>
      <protection/>
    </xf>
    <xf numFmtId="180" fontId="30" fillId="26" borderId="0" xfId="0" applyNumberFormat="1" applyFont="1" applyFill="1" applyBorder="1" applyAlignment="1" applyProtection="1">
      <alignment horizontal="center" vertical="center"/>
      <protection/>
    </xf>
    <xf numFmtId="180" fontId="30" fillId="20" borderId="10" xfId="0" applyNumberFormat="1" applyFont="1" applyFill="1" applyBorder="1" applyAlignment="1" applyProtection="1">
      <alignment horizontal="center" vertical="center"/>
      <protection/>
    </xf>
    <xf numFmtId="0" fontId="5" fillId="0" borderId="0" xfId="0" applyFont="1" applyAlignment="1">
      <alignment horizontal="left" vertical="top" wrapText="1"/>
    </xf>
    <xf numFmtId="0" fontId="7" fillId="8" borderId="28" xfId="0" applyFont="1" applyFill="1" applyBorder="1" applyAlignment="1" applyProtection="1">
      <alignment horizontal="center" vertical="center"/>
      <protection/>
    </xf>
    <xf numFmtId="176" fontId="7" fillId="8" borderId="28" xfId="0" applyNumberFormat="1" applyFont="1" applyFill="1" applyBorder="1" applyAlignment="1" applyProtection="1">
      <alignment horizontal="center" vertical="center"/>
      <protection/>
    </xf>
    <xf numFmtId="0" fontId="9" fillId="8" borderId="10" xfId="0" applyFont="1" applyFill="1" applyBorder="1" applyAlignment="1" applyProtection="1">
      <alignment vertical="top" wrapText="1"/>
      <protection/>
    </xf>
    <xf numFmtId="0" fontId="15" fillId="23" borderId="0" xfId="0" applyFont="1" applyFill="1" applyBorder="1" applyAlignment="1" applyProtection="1">
      <alignment vertical="top" wrapText="1"/>
      <protection/>
    </xf>
    <xf numFmtId="0" fontId="20" fillId="21" borderId="10" xfId="0" applyFont="1" applyFill="1" applyBorder="1" applyAlignment="1" applyProtection="1">
      <alignment vertical="center"/>
      <protection/>
    </xf>
    <xf numFmtId="0" fontId="4" fillId="0" borderId="10" xfId="0" applyFont="1" applyBorder="1" applyAlignment="1" applyProtection="1">
      <alignment vertical="top" wrapText="1"/>
      <protection/>
    </xf>
    <xf numFmtId="169" fontId="4" fillId="0" borderId="10" xfId="0" applyNumberFormat="1" applyFont="1" applyBorder="1" applyAlignment="1" applyProtection="1">
      <alignment horizontal="center" vertical="top" wrapText="1"/>
      <protection/>
    </xf>
    <xf numFmtId="0" fontId="4" fillId="27" borderId="10" xfId="0" applyFont="1" applyFill="1" applyBorder="1" applyAlignment="1" applyProtection="1">
      <alignment vertical="top" wrapText="1"/>
      <protection/>
    </xf>
    <xf numFmtId="169" fontId="4" fillId="27" borderId="10" xfId="0" applyNumberFormat="1" applyFont="1" applyFill="1" applyBorder="1" applyAlignment="1" applyProtection="1">
      <alignment horizontal="center" vertical="top" wrapText="1"/>
      <protection/>
    </xf>
    <xf numFmtId="177" fontId="7" fillId="8" borderId="28" xfId="0" applyNumberFormat="1" applyFont="1" applyFill="1" applyBorder="1" applyAlignment="1" applyProtection="1">
      <alignment horizontal="center" vertical="center"/>
      <protection/>
    </xf>
    <xf numFmtId="0" fontId="9" fillId="8" borderId="11" xfId="0" applyFont="1" applyFill="1" applyBorder="1" applyAlignment="1" applyProtection="1">
      <alignment vertical="top" wrapText="1"/>
      <protection/>
    </xf>
    <xf numFmtId="0" fontId="4" fillId="21" borderId="10" xfId="0" applyFont="1" applyFill="1" applyBorder="1" applyAlignment="1" applyProtection="1">
      <alignment vertical="center"/>
      <protection/>
    </xf>
    <xf numFmtId="0" fontId="20" fillId="0" borderId="0" xfId="0" applyFont="1" applyAlignment="1" applyProtection="1">
      <alignment vertical="center"/>
      <protection/>
    </xf>
    <xf numFmtId="0" fontId="5" fillId="0" borderId="0" xfId="0" applyFont="1" applyAlignment="1">
      <alignment horizontal="left" vertical="top"/>
    </xf>
    <xf numFmtId="0" fontId="49" fillId="0" borderId="0" xfId="0" applyFont="1" applyAlignment="1">
      <alignment horizontal="right" vertical="top" wrapText="1"/>
    </xf>
    <xf numFmtId="0" fontId="49" fillId="0" borderId="0" xfId="0" applyFont="1" applyAlignment="1">
      <alignment vertical="top" wrapText="1"/>
    </xf>
    <xf numFmtId="0" fontId="49" fillId="0" borderId="0" xfId="0" applyFont="1" applyAlignment="1" quotePrefix="1">
      <alignment horizontal="right" vertical="top" wrapText="1"/>
    </xf>
    <xf numFmtId="0" fontId="4" fillId="0" borderId="0" xfId="0" applyFont="1" applyAlignment="1">
      <alignment horizontal="left" vertical="top" wrapText="1"/>
    </xf>
    <xf numFmtId="14" fontId="49" fillId="0" borderId="0" xfId="0" applyNumberFormat="1" applyFont="1" applyAlignment="1" quotePrefix="1">
      <alignment horizontal="right" vertical="top" wrapText="1"/>
    </xf>
    <xf numFmtId="0" fontId="3" fillId="0" borderId="41" xfId="0" applyFont="1" applyFill="1" applyBorder="1" applyAlignment="1">
      <alignment vertical="center"/>
    </xf>
    <xf numFmtId="0" fontId="19" fillId="0" borderId="42" xfId="0" applyFont="1" applyBorder="1" applyAlignment="1">
      <alignment vertical="center"/>
    </xf>
    <xf numFmtId="0" fontId="3" fillId="0" borderId="43" xfId="0" applyFont="1" applyBorder="1" applyAlignment="1">
      <alignment vertical="center"/>
    </xf>
    <xf numFmtId="0" fontId="3" fillId="0" borderId="44" xfId="0" applyFont="1" applyFill="1" applyBorder="1" applyAlignment="1">
      <alignment vertical="center"/>
    </xf>
    <xf numFmtId="0" fontId="4" fillId="0" borderId="45" xfId="0" applyFont="1" applyBorder="1" applyAlignment="1">
      <alignment vertical="center"/>
    </xf>
    <xf numFmtId="0" fontId="19" fillId="0" borderId="44" xfId="0" applyFont="1" applyFill="1" applyBorder="1" applyAlignment="1">
      <alignment vertical="center"/>
    </xf>
    <xf numFmtId="0" fontId="4" fillId="0" borderId="44" xfId="0" applyFont="1" applyFill="1" applyBorder="1" applyAlignment="1">
      <alignment vertical="center"/>
    </xf>
    <xf numFmtId="0" fontId="4" fillId="0" borderId="46" xfId="0" applyFont="1" applyBorder="1" applyAlignment="1">
      <alignment vertical="center"/>
    </xf>
    <xf numFmtId="0" fontId="4" fillId="0" borderId="47" xfId="0" applyFont="1" applyBorder="1" applyAlignment="1">
      <alignment vertical="center"/>
    </xf>
    <xf numFmtId="0" fontId="4" fillId="0" borderId="48" xfId="0" applyFont="1" applyBorder="1" applyAlignment="1">
      <alignment vertical="center"/>
    </xf>
    <xf numFmtId="0" fontId="4" fillId="0" borderId="42" xfId="0" applyFont="1" applyBorder="1" applyAlignment="1">
      <alignment vertical="center"/>
    </xf>
    <xf numFmtId="0" fontId="4" fillId="0" borderId="43" xfId="0" applyFont="1" applyBorder="1" applyAlignment="1">
      <alignment vertical="center"/>
    </xf>
    <xf numFmtId="0" fontId="19" fillId="0" borderId="0" xfId="0" applyFont="1" applyBorder="1" applyAlignment="1">
      <alignment vertical="center"/>
    </xf>
    <xf numFmtId="0" fontId="19" fillId="0" borderId="45" xfId="0" applyFont="1" applyBorder="1" applyAlignment="1">
      <alignment vertical="center"/>
    </xf>
    <xf numFmtId="0" fontId="3" fillId="0" borderId="46" xfId="0" applyFont="1" applyFill="1" applyBorder="1" applyAlignment="1">
      <alignment vertical="center"/>
    </xf>
    <xf numFmtId="0" fontId="3" fillId="0" borderId="48" xfId="0" applyFont="1" applyBorder="1" applyAlignment="1">
      <alignment vertical="center"/>
    </xf>
    <xf numFmtId="0" fontId="4" fillId="0" borderId="41" xfId="0" applyFont="1" applyFill="1" applyBorder="1" applyAlignment="1">
      <alignment vertical="center"/>
    </xf>
    <xf numFmtId="0" fontId="4" fillId="0" borderId="42" xfId="0" applyFont="1" applyFill="1" applyBorder="1" applyAlignment="1">
      <alignment vertical="center"/>
    </xf>
    <xf numFmtId="0" fontId="4" fillId="0" borderId="43" xfId="0" applyFont="1" applyFill="1" applyBorder="1" applyAlignment="1">
      <alignment vertical="center"/>
    </xf>
    <xf numFmtId="0" fontId="4" fillId="0" borderId="45" xfId="0" applyFont="1" applyFill="1" applyBorder="1" applyAlignment="1">
      <alignment vertical="center"/>
    </xf>
    <xf numFmtId="0" fontId="19" fillId="0" borderId="46" xfId="0" applyFont="1" applyFill="1" applyBorder="1" applyAlignment="1">
      <alignment vertical="center"/>
    </xf>
    <xf numFmtId="0" fontId="19" fillId="0" borderId="47" xfId="0" applyFont="1" applyFill="1" applyBorder="1" applyAlignment="1">
      <alignment vertical="center"/>
    </xf>
    <xf numFmtId="0" fontId="19" fillId="0" borderId="48" xfId="0" applyFont="1" applyFill="1" applyBorder="1" applyAlignment="1">
      <alignment vertical="center"/>
    </xf>
    <xf numFmtId="0" fontId="19" fillId="0" borderId="41" xfId="0" applyFont="1" applyFill="1" applyBorder="1" applyAlignment="1">
      <alignment vertical="center"/>
    </xf>
    <xf numFmtId="0" fontId="19" fillId="0" borderId="42" xfId="0" applyFont="1" applyFill="1" applyBorder="1" applyAlignment="1">
      <alignment vertical="center"/>
    </xf>
    <xf numFmtId="0" fontId="19" fillId="0" borderId="43" xfId="0" applyFont="1" applyFill="1" applyBorder="1" applyAlignment="1">
      <alignment vertical="center"/>
    </xf>
    <xf numFmtId="0" fontId="3" fillId="0" borderId="44" xfId="0" applyFont="1" applyBorder="1" applyAlignment="1">
      <alignment vertical="center"/>
    </xf>
    <xf numFmtId="0" fontId="19" fillId="0" borderId="45" xfId="0" applyFont="1" applyFill="1" applyBorder="1" applyAlignment="1">
      <alignment vertical="center"/>
    </xf>
    <xf numFmtId="0" fontId="4" fillId="0" borderId="44" xfId="0" applyFont="1" applyBorder="1" applyAlignment="1">
      <alignment vertical="center"/>
    </xf>
    <xf numFmtId="0" fontId="25" fillId="0" borderId="0" xfId="0" applyFont="1" applyBorder="1" applyAlignment="1">
      <alignment vertical="center"/>
    </xf>
    <xf numFmtId="0" fontId="50" fillId="0" borderId="0" xfId="0" applyFont="1" applyFill="1" applyBorder="1" applyAlignment="1">
      <alignment vertical="center"/>
    </xf>
    <xf numFmtId="0" fontId="51" fillId="0" borderId="0" xfId="0" applyFont="1" applyFill="1" applyBorder="1" applyAlignment="1">
      <alignment vertical="center"/>
    </xf>
    <xf numFmtId="0" fontId="4" fillId="0" borderId="47" xfId="0" applyFont="1" applyFill="1" applyBorder="1" applyAlignment="1">
      <alignment vertical="center"/>
    </xf>
    <xf numFmtId="0" fontId="4" fillId="0" borderId="49" xfId="0" applyFont="1" applyFill="1" applyBorder="1" applyAlignment="1">
      <alignment vertical="center"/>
    </xf>
    <xf numFmtId="0" fontId="19" fillId="0" borderId="44" xfId="0" applyFont="1" applyBorder="1" applyAlignment="1">
      <alignment vertical="center"/>
    </xf>
    <xf numFmtId="0" fontId="0" fillId="0" borderId="0" xfId="0" applyFont="1" applyAlignment="1">
      <alignment/>
    </xf>
    <xf numFmtId="0" fontId="4" fillId="0" borderId="0" xfId="0" applyFont="1" applyBorder="1" applyAlignment="1">
      <alignment horizontal="left" vertical="top" wrapText="1"/>
    </xf>
    <xf numFmtId="0" fontId="4" fillId="20" borderId="29" xfId="0" applyFont="1" applyFill="1" applyBorder="1" applyAlignment="1">
      <alignment horizontal="center" vertical="center"/>
    </xf>
    <xf numFmtId="0" fontId="4" fillId="20" borderId="31" xfId="0" applyFont="1" applyFill="1" applyBorder="1" applyAlignment="1">
      <alignment horizontal="center" vertical="center"/>
    </xf>
    <xf numFmtId="0" fontId="4" fillId="8" borderId="29" xfId="0" applyFont="1" applyFill="1" applyBorder="1" applyAlignment="1">
      <alignment horizontal="center" vertical="center"/>
    </xf>
    <xf numFmtId="0" fontId="4" fillId="8" borderId="31" xfId="0" applyFont="1" applyFill="1" applyBorder="1" applyAlignment="1">
      <alignment horizontal="center" vertical="center"/>
    </xf>
    <xf numFmtId="0" fontId="4" fillId="0" borderId="0" xfId="0" applyFont="1" applyFill="1" applyBorder="1" applyAlignment="1">
      <alignment horizontal="left" vertical="center"/>
    </xf>
    <xf numFmtId="44" fontId="4" fillId="25" borderId="29" xfId="59" applyFont="1" applyFill="1" applyBorder="1" applyAlignment="1">
      <alignment horizontal="center" vertical="center"/>
    </xf>
    <xf numFmtId="44" fontId="4" fillId="25" borderId="31" xfId="59" applyFont="1" applyFill="1" applyBorder="1" applyAlignment="1">
      <alignment horizontal="center" vertical="center"/>
    </xf>
    <xf numFmtId="0" fontId="4" fillId="25" borderId="29" xfId="0" applyFont="1" applyFill="1" applyBorder="1" applyAlignment="1">
      <alignment horizontal="center" vertical="center"/>
    </xf>
    <xf numFmtId="0" fontId="4" fillId="25" borderId="31" xfId="0" applyFont="1" applyFill="1" applyBorder="1" applyAlignment="1">
      <alignment horizontal="center" vertical="center"/>
    </xf>
    <xf numFmtId="0" fontId="4" fillId="0" borderId="0" xfId="0" applyFont="1" applyFill="1" applyBorder="1" applyAlignment="1">
      <alignment horizontal="right" vertical="center"/>
    </xf>
    <xf numFmtId="0" fontId="4" fillId="22" borderId="11" xfId="0" applyFont="1" applyFill="1" applyBorder="1" applyAlignment="1" applyProtection="1">
      <alignment horizontal="left" vertical="center"/>
      <protection locked="0"/>
    </xf>
    <xf numFmtId="0" fontId="4" fillId="22" borderId="13" xfId="0" applyFont="1" applyFill="1" applyBorder="1" applyAlignment="1" applyProtection="1">
      <alignment horizontal="left" vertical="center"/>
      <protection locked="0"/>
    </xf>
    <xf numFmtId="0" fontId="4" fillId="22" borderId="12" xfId="0" applyFont="1" applyFill="1" applyBorder="1" applyAlignment="1" applyProtection="1">
      <alignment horizontal="left" vertical="center"/>
      <protection locked="0"/>
    </xf>
    <xf numFmtId="0" fontId="4" fillId="24" borderId="19" xfId="0" applyFont="1" applyFill="1" applyBorder="1" applyAlignment="1" applyProtection="1">
      <alignment horizontal="right" vertical="center"/>
      <protection/>
    </xf>
    <xf numFmtId="0" fontId="4" fillId="24" borderId="0" xfId="0" applyFont="1" applyFill="1" applyBorder="1" applyAlignment="1" applyProtection="1">
      <alignment horizontal="right" vertical="center"/>
      <protection/>
    </xf>
    <xf numFmtId="0" fontId="4" fillId="22" borderId="10" xfId="0" applyFont="1" applyFill="1" applyBorder="1" applyAlignment="1" applyProtection="1">
      <alignment horizontal="left" vertical="center"/>
      <protection locked="0"/>
    </xf>
    <xf numFmtId="0" fontId="4" fillId="24" borderId="21" xfId="0" applyFont="1" applyFill="1" applyBorder="1" applyAlignment="1" applyProtection="1">
      <alignment horizontal="right" vertical="center"/>
      <protection/>
    </xf>
    <xf numFmtId="0" fontId="4" fillId="24" borderId="24" xfId="0" applyFont="1" applyFill="1" applyBorder="1" applyAlignment="1" applyProtection="1">
      <alignment horizontal="right" vertical="center"/>
      <protection/>
    </xf>
    <xf numFmtId="0" fontId="4" fillId="24" borderId="17" xfId="0" applyFont="1" applyFill="1" applyBorder="1" applyAlignment="1" applyProtection="1">
      <alignment horizontal="right" vertical="center"/>
      <protection/>
    </xf>
    <xf numFmtId="0" fontId="4" fillId="24" borderId="23" xfId="0" applyFont="1" applyFill="1" applyBorder="1" applyAlignment="1" applyProtection="1">
      <alignment horizontal="right" vertical="center"/>
      <protection/>
    </xf>
    <xf numFmtId="0" fontId="7" fillId="8" borderId="28" xfId="0" applyFont="1" applyFill="1" applyBorder="1" applyAlignment="1" applyProtection="1">
      <alignment horizontal="left" vertical="center"/>
      <protection/>
    </xf>
    <xf numFmtId="0" fontId="7" fillId="8" borderId="28" xfId="0" applyFont="1" applyFill="1" applyBorder="1" applyAlignment="1" applyProtection="1">
      <alignment horizontal="left" vertical="center"/>
      <protection/>
    </xf>
    <xf numFmtId="0" fontId="5" fillId="0" borderId="0" xfId="0" applyFont="1" applyAlignment="1">
      <alignment horizontal="left"/>
    </xf>
    <xf numFmtId="0" fontId="6" fillId="0" borderId="0" xfId="0" applyFont="1" applyAlignment="1">
      <alignment horizontal="left"/>
    </xf>
    <xf numFmtId="0" fontId="10" fillId="0" borderId="0" xfId="0" applyFont="1" applyBorder="1" applyAlignment="1">
      <alignment horizontal="right" vertical="center"/>
    </xf>
    <xf numFmtId="0" fontId="4" fillId="20" borderId="29" xfId="0" applyFont="1" applyFill="1" applyBorder="1" applyAlignment="1" applyProtection="1">
      <alignment horizontal="center" vertical="center"/>
      <protection locked="0"/>
    </xf>
    <xf numFmtId="0" fontId="4" fillId="20" borderId="30" xfId="0" applyFont="1" applyFill="1" applyBorder="1" applyAlignment="1" applyProtection="1">
      <alignment horizontal="center" vertical="center"/>
      <protection locked="0"/>
    </xf>
    <xf numFmtId="0" fontId="4" fillId="20" borderId="31" xfId="0" applyFont="1" applyFill="1" applyBorder="1" applyAlignment="1" applyProtection="1">
      <alignment horizontal="center" vertical="center"/>
      <protection locked="0"/>
    </xf>
    <xf numFmtId="0" fontId="4" fillId="8" borderId="29" xfId="0" applyFont="1" applyFill="1" applyBorder="1" applyAlignment="1" applyProtection="1">
      <alignment horizontal="left" vertical="center"/>
      <protection locked="0"/>
    </xf>
    <xf numFmtId="0" fontId="4" fillId="8" borderId="30" xfId="0" applyFont="1" applyFill="1" applyBorder="1" applyAlignment="1" applyProtection="1">
      <alignment horizontal="left" vertical="center"/>
      <protection locked="0"/>
    </xf>
    <xf numFmtId="0" fontId="4" fillId="8" borderId="31" xfId="0" applyFont="1" applyFill="1" applyBorder="1" applyAlignment="1" applyProtection="1">
      <alignment horizontal="left" vertical="center"/>
      <protection locked="0"/>
    </xf>
    <xf numFmtId="49" fontId="4" fillId="20" borderId="29" xfId="0" applyNumberFormat="1" applyFont="1" applyFill="1" applyBorder="1" applyAlignment="1" applyProtection="1">
      <alignment horizontal="center" vertical="center"/>
      <protection locked="0"/>
    </xf>
    <xf numFmtId="49" fontId="4" fillId="20" borderId="30" xfId="0" applyNumberFormat="1" applyFont="1" applyFill="1" applyBorder="1" applyAlignment="1" applyProtection="1">
      <alignment horizontal="center" vertical="center"/>
      <protection locked="0"/>
    </xf>
    <xf numFmtId="49" fontId="4" fillId="20" borderId="31" xfId="0" applyNumberFormat="1" applyFont="1" applyFill="1" applyBorder="1" applyAlignment="1" applyProtection="1">
      <alignment horizontal="center" vertical="center"/>
      <protection locked="0"/>
    </xf>
    <xf numFmtId="0" fontId="49" fillId="8" borderId="30" xfId="0" applyFont="1" applyFill="1" applyBorder="1" applyAlignment="1">
      <alignment vertical="center"/>
    </xf>
    <xf numFmtId="0" fontId="49" fillId="8" borderId="30" xfId="0" applyFont="1" applyFill="1" applyBorder="1" applyAlignment="1">
      <alignment horizontal="right" vertical="center"/>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xfId="42"/>
    <cellStyle name="Comma [0]" xfId="43"/>
    <cellStyle name="Eingabe" xfId="44"/>
    <cellStyle name="Ergebnis" xfId="45"/>
    <cellStyle name="Erklärender Text" xfId="46"/>
    <cellStyle name="Gut"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dxfs count="27">
    <dxf>
      <font>
        <color indexed="9"/>
      </font>
      <fill>
        <patternFill>
          <bgColor indexed="10"/>
        </patternFill>
      </fill>
    </dxf>
    <dxf>
      <font>
        <color indexed="9"/>
      </font>
      <fill>
        <patternFill>
          <bgColor indexed="10"/>
        </patternFill>
      </fill>
    </dxf>
    <dxf>
      <font>
        <color indexed="22"/>
      </font>
      <fill>
        <patternFill>
          <bgColor indexed="23"/>
        </patternFill>
      </fill>
    </dxf>
    <dxf>
      <fill>
        <patternFill>
          <bgColor indexed="57"/>
        </patternFill>
      </fill>
    </dxf>
    <dxf>
      <fill>
        <patternFill>
          <bgColor indexed="10"/>
        </patternFill>
      </fill>
    </dxf>
    <dxf>
      <fill>
        <patternFill>
          <bgColor indexed="51"/>
        </patternFill>
      </fill>
    </dxf>
    <dxf>
      <fill>
        <patternFill>
          <bgColor indexed="57"/>
        </patternFill>
      </fill>
    </dxf>
    <dxf>
      <fill>
        <patternFill>
          <bgColor indexed="10"/>
        </patternFill>
      </fill>
    </dxf>
    <dxf>
      <font>
        <color indexed="22"/>
      </font>
      <fill>
        <patternFill>
          <bgColor indexed="23"/>
        </patternFill>
      </fill>
    </dxf>
    <dxf>
      <font>
        <color rgb="FFCC0000"/>
      </font>
    </dxf>
    <dxf>
      <fill>
        <patternFill>
          <bgColor indexed="57"/>
        </patternFill>
      </fill>
    </dxf>
    <dxf>
      <fill>
        <patternFill>
          <bgColor indexed="10"/>
        </patternFill>
      </fill>
    </dxf>
    <dxf>
      <fill>
        <patternFill>
          <bgColor indexed="51"/>
        </patternFill>
      </fill>
    </dxf>
    <dxf>
      <font>
        <color indexed="9"/>
      </font>
      <fill>
        <patternFill>
          <bgColor indexed="10"/>
        </patternFill>
      </fill>
    </dxf>
    <dxf>
      <font>
        <color indexed="22"/>
      </font>
      <fill>
        <patternFill>
          <bgColor indexed="23"/>
        </patternFill>
      </fill>
    </dxf>
    <dxf>
      <font>
        <b/>
        <i val="0"/>
      </font>
    </dxf>
    <dxf>
      <fill>
        <patternFill>
          <bgColor indexed="51"/>
        </patternFill>
      </fill>
    </dxf>
    <dxf>
      <font>
        <color indexed="9"/>
      </font>
      <fill>
        <patternFill>
          <bgColor indexed="10"/>
        </patternFill>
      </fill>
    </dxf>
    <dxf>
      <font>
        <color indexed="8"/>
      </font>
      <fill>
        <patternFill>
          <bgColor indexed="51"/>
        </patternFill>
      </fill>
    </dxf>
    <dxf>
      <font>
        <color indexed="22"/>
      </font>
      <fill>
        <patternFill>
          <bgColor indexed="23"/>
        </patternFill>
      </fill>
    </dxf>
    <dxf>
      <font>
        <color indexed="22"/>
      </font>
      <fill>
        <patternFill>
          <bgColor indexed="23"/>
        </patternFill>
      </fill>
    </dxf>
    <dxf>
      <font>
        <color indexed="22"/>
      </font>
      <fill>
        <patternFill>
          <bgColor indexed="23"/>
        </patternFill>
      </fill>
    </dxf>
    <dxf>
      <font>
        <color indexed="22"/>
      </font>
      <fill>
        <patternFill>
          <bgColor indexed="23"/>
        </patternFill>
      </fill>
    </dxf>
    <dxf>
      <font>
        <color indexed="22"/>
      </font>
      <fill>
        <patternFill>
          <bgColor indexed="23"/>
        </patternFill>
      </fill>
    </dxf>
    <dxf>
      <font>
        <color indexed="63"/>
      </font>
      <fill>
        <patternFill>
          <bgColor indexed="63"/>
        </patternFill>
      </fill>
    </dxf>
    <dxf>
      <font>
        <color indexed="63"/>
      </font>
      <fill>
        <patternFill>
          <bgColor indexed="63"/>
        </patternFill>
      </fill>
    </dxf>
    <dxf>
      <font>
        <color indexed="63"/>
      </font>
      <fill>
        <patternFill>
          <bgColor indexed="6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3</xdr:row>
      <xdr:rowOff>0</xdr:rowOff>
    </xdr:from>
    <xdr:to>
      <xdr:col>3</xdr:col>
      <xdr:colOff>0</xdr:colOff>
      <xdr:row>3</xdr:row>
      <xdr:rowOff>1819275</xdr:rowOff>
    </xdr:to>
    <xdr:pic>
      <xdr:nvPicPr>
        <xdr:cNvPr id="1" name="Picture 1" descr="Splittermond-Logo_Slide"/>
        <xdr:cNvPicPr preferRelativeResize="1">
          <a:picLocks noChangeAspect="1"/>
        </xdr:cNvPicPr>
      </xdr:nvPicPr>
      <xdr:blipFill>
        <a:blip r:embed="rId1"/>
        <a:srcRect l="854" t="1063" r="683" b="1596"/>
        <a:stretch>
          <a:fillRect/>
        </a:stretch>
      </xdr:blipFill>
      <xdr:spPr>
        <a:xfrm>
          <a:off x="0" y="514350"/>
          <a:ext cx="5429250" cy="1819275"/>
        </a:xfrm>
        <a:prstGeom prst="rect">
          <a:avLst/>
        </a:prstGeom>
        <a:noFill/>
        <a:ln w="9525" cmpd="sng">
          <a:solidFill>
            <a:srgbClr val="FFFFFF"/>
          </a:solidFill>
          <a:headEnd type="none"/>
          <a:tailEnd type="none"/>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39</xdr:col>
      <xdr:colOff>0</xdr:colOff>
      <xdr:row>16</xdr:row>
      <xdr:rowOff>0</xdr:rowOff>
    </xdr:from>
    <xdr:ext cx="314325" cy="314325"/>
    <xdr:sp>
      <xdr:nvSpPr>
        <xdr:cNvPr id="1" name="AutoShape 2" descr="https://si0.twimg.com/profile_images/3287668313/94d4d68b40de3d1c7a62c3d3d8b0cd6a.jpeg"/>
        <xdr:cNvSpPr>
          <a:spLocks noChangeAspect="1"/>
        </xdr:cNvSpPr>
      </xdr:nvSpPr>
      <xdr:spPr>
        <a:xfrm>
          <a:off x="8172450" y="3000375"/>
          <a:ext cx="314325"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28</xdr:col>
      <xdr:colOff>9525</xdr:colOff>
      <xdr:row>61</xdr:row>
      <xdr:rowOff>133350</xdr:rowOff>
    </xdr:from>
    <xdr:to>
      <xdr:col>34</xdr:col>
      <xdr:colOff>0</xdr:colOff>
      <xdr:row>64</xdr:row>
      <xdr:rowOff>0</xdr:rowOff>
    </xdr:to>
    <xdr:pic>
      <xdr:nvPicPr>
        <xdr:cNvPr id="2" name="Picture 5" descr="Splittermond-Logo_Mini"/>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5876925" y="11972925"/>
          <a:ext cx="1247775" cy="438150"/>
        </a:xfrm>
        <a:prstGeom prst="rect">
          <a:avLst/>
        </a:prstGeom>
        <a:noFill/>
        <a:ln w="9525" cmpd="sng">
          <a:noFill/>
        </a:ln>
      </xdr:spPr>
    </xdr:pic>
    <xdr:clientData/>
  </xdr:twoCellAnchor>
  <xdr:twoCellAnchor editAs="oneCell">
    <xdr:from>
      <xdr:col>0</xdr:col>
      <xdr:colOff>0</xdr:colOff>
      <xdr:row>7</xdr:row>
      <xdr:rowOff>0</xdr:rowOff>
    </xdr:from>
    <xdr:to>
      <xdr:col>11</xdr:col>
      <xdr:colOff>57150</xdr:colOff>
      <xdr:row>19</xdr:row>
      <xdr:rowOff>9525</xdr:rowOff>
    </xdr:to>
    <xdr:pic>
      <xdr:nvPicPr>
        <xdr:cNvPr id="3" name="Picture 187"/>
        <xdr:cNvPicPr preferRelativeResize="1">
          <a:picLocks noChangeAspect="1"/>
        </xdr:cNvPicPr>
      </xdr:nvPicPr>
      <xdr:blipFill>
        <a:blip r:embed="rId2"/>
        <a:stretch>
          <a:fillRect/>
        </a:stretch>
      </xdr:blipFill>
      <xdr:spPr>
        <a:xfrm>
          <a:off x="0" y="1162050"/>
          <a:ext cx="2362200" cy="2447925"/>
        </a:xfrm>
        <a:prstGeom prst="rect">
          <a:avLst/>
        </a:prstGeom>
        <a:noFill/>
        <a:ln w="9525" cmpd="sng">
          <a:solidFill>
            <a:srgbClr val="000000"/>
          </a:solidFill>
          <a:headEnd type="none"/>
          <a:tailEnd type="none"/>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38100</xdr:colOff>
      <xdr:row>27</xdr:row>
      <xdr:rowOff>19050</xdr:rowOff>
    </xdr:from>
    <xdr:to>
      <xdr:col>20</xdr:col>
      <xdr:colOff>238125</xdr:colOff>
      <xdr:row>53</xdr:row>
      <xdr:rowOff>152400</xdr:rowOff>
    </xdr:to>
    <xdr:grpSp>
      <xdr:nvGrpSpPr>
        <xdr:cNvPr id="1" name="Gruppieren 2"/>
        <xdr:cNvGrpSpPr>
          <a:grpSpLocks/>
        </xdr:cNvGrpSpPr>
      </xdr:nvGrpSpPr>
      <xdr:grpSpPr>
        <a:xfrm>
          <a:off x="8696325" y="4972050"/>
          <a:ext cx="200025" cy="4457700"/>
          <a:chOff x="8128109" y="4118084"/>
          <a:chExt cx="200025" cy="4403178"/>
        </a:xfrm>
        <a:solidFill>
          <a:srgbClr val="FFFFFF"/>
        </a:solidFill>
      </xdr:grpSpPr>
    </xdr:grpSp>
    <xdr:clientData fLocksWithSheet="0"/>
  </xdr:twoCellAnchor>
  <xdr:twoCellAnchor>
    <xdr:from>
      <xdr:col>5</xdr:col>
      <xdr:colOff>28575</xdr:colOff>
      <xdr:row>14</xdr:row>
      <xdr:rowOff>19050</xdr:rowOff>
    </xdr:from>
    <xdr:to>
      <xdr:col>5</xdr:col>
      <xdr:colOff>228600</xdr:colOff>
      <xdr:row>22</xdr:row>
      <xdr:rowOff>152400</xdr:rowOff>
    </xdr:to>
    <xdr:grpSp>
      <xdr:nvGrpSpPr>
        <xdr:cNvPr id="18" name="Gruppieren 8"/>
        <xdr:cNvGrpSpPr>
          <a:grpSpLocks/>
        </xdr:cNvGrpSpPr>
      </xdr:nvGrpSpPr>
      <xdr:grpSpPr>
        <a:xfrm>
          <a:off x="2533650" y="2543175"/>
          <a:ext cx="200025" cy="1657350"/>
          <a:chOff x="2785241" y="2116751"/>
          <a:chExt cx="200025" cy="1450197"/>
        </a:xfrm>
        <a:solidFill>
          <a:srgbClr val="FFFFFF"/>
        </a:solidFill>
      </xdr:grpSpPr>
    </xdr:grpSp>
    <xdr:clientData fLocksWithSheet="0"/>
  </xdr:twoCellAnchor>
  <xdr:twoCellAnchor>
    <xdr:from>
      <xdr:col>5</xdr:col>
      <xdr:colOff>28575</xdr:colOff>
      <xdr:row>27</xdr:row>
      <xdr:rowOff>19050</xdr:rowOff>
    </xdr:from>
    <xdr:to>
      <xdr:col>5</xdr:col>
      <xdr:colOff>228600</xdr:colOff>
      <xdr:row>35</xdr:row>
      <xdr:rowOff>152400</xdr:rowOff>
    </xdr:to>
    <xdr:grpSp>
      <xdr:nvGrpSpPr>
        <xdr:cNvPr id="28" name="Gruppieren 7"/>
        <xdr:cNvGrpSpPr>
          <a:grpSpLocks/>
        </xdr:cNvGrpSpPr>
      </xdr:nvGrpSpPr>
      <xdr:grpSpPr>
        <a:xfrm>
          <a:off x="2533650" y="4972050"/>
          <a:ext cx="200025" cy="1428750"/>
          <a:chOff x="2785241" y="4312214"/>
          <a:chExt cx="200025" cy="1448769"/>
        </a:xfrm>
        <a:solidFill>
          <a:srgbClr val="FFFFFF"/>
        </a:solidFill>
      </xdr:grpSpPr>
    </xdr:grpSp>
    <xdr:clientData fLocksWithSheet="0"/>
  </xdr:twoCellAnchor>
  <xdr:twoCellAnchor>
    <xdr:from>
      <xdr:col>5</xdr:col>
      <xdr:colOff>28575</xdr:colOff>
      <xdr:row>38</xdr:row>
      <xdr:rowOff>19050</xdr:rowOff>
    </xdr:from>
    <xdr:to>
      <xdr:col>5</xdr:col>
      <xdr:colOff>228600</xdr:colOff>
      <xdr:row>40</xdr:row>
      <xdr:rowOff>152400</xdr:rowOff>
    </xdr:to>
    <xdr:grpSp>
      <xdr:nvGrpSpPr>
        <xdr:cNvPr id="36" name="Gruppieren 6"/>
        <xdr:cNvGrpSpPr>
          <a:grpSpLocks/>
        </xdr:cNvGrpSpPr>
      </xdr:nvGrpSpPr>
      <xdr:grpSpPr>
        <a:xfrm>
          <a:off x="2533650" y="6781800"/>
          <a:ext cx="200025" cy="457200"/>
          <a:chOff x="2785241" y="6144955"/>
          <a:chExt cx="200025" cy="463424"/>
        </a:xfrm>
        <a:solidFill>
          <a:srgbClr val="FFFFFF"/>
        </a:solidFill>
      </xdr:grpSpPr>
    </xdr:grpSp>
    <xdr:clientData fLocksWithSheet="0"/>
  </xdr:twoCellAnchor>
  <xdr:twoCellAnchor>
    <xdr:from>
      <xdr:col>5</xdr:col>
      <xdr:colOff>28575</xdr:colOff>
      <xdr:row>45</xdr:row>
      <xdr:rowOff>19050</xdr:rowOff>
    </xdr:from>
    <xdr:to>
      <xdr:col>5</xdr:col>
      <xdr:colOff>228600</xdr:colOff>
      <xdr:row>50</xdr:row>
      <xdr:rowOff>152400</xdr:rowOff>
    </xdr:to>
    <xdr:grpSp>
      <xdr:nvGrpSpPr>
        <xdr:cNvPr id="40" name="Gruppieren 5"/>
        <xdr:cNvGrpSpPr>
          <a:grpSpLocks/>
        </xdr:cNvGrpSpPr>
      </xdr:nvGrpSpPr>
      <xdr:grpSpPr>
        <a:xfrm>
          <a:off x="2533650" y="7981950"/>
          <a:ext cx="200025" cy="942975"/>
          <a:chOff x="2785241" y="7352217"/>
          <a:chExt cx="200025" cy="957524"/>
        </a:xfrm>
        <a:solidFill>
          <a:srgbClr val="FFFFFF"/>
        </a:solidFill>
      </xdr:grpSpPr>
    </xdr:grpSp>
    <xdr:clientData fLocksWithSheet="0"/>
  </xdr:twoCellAnchor>
  <xdr:twoCellAnchor>
    <xdr:from>
      <xdr:col>23</xdr:col>
      <xdr:colOff>47625</xdr:colOff>
      <xdr:row>14</xdr:row>
      <xdr:rowOff>19050</xdr:rowOff>
    </xdr:from>
    <xdr:to>
      <xdr:col>23</xdr:col>
      <xdr:colOff>247650</xdr:colOff>
      <xdr:row>22</xdr:row>
      <xdr:rowOff>152400</xdr:rowOff>
    </xdr:to>
    <xdr:grpSp>
      <xdr:nvGrpSpPr>
        <xdr:cNvPr id="47" name="Gruppieren 3"/>
        <xdr:cNvGrpSpPr>
          <a:grpSpLocks/>
        </xdr:cNvGrpSpPr>
      </xdr:nvGrpSpPr>
      <xdr:grpSpPr>
        <a:xfrm>
          <a:off x="9810750" y="2543175"/>
          <a:ext cx="200025" cy="1657350"/>
          <a:chOff x="9343040" y="1930619"/>
          <a:chExt cx="200025" cy="1447143"/>
        </a:xfrm>
        <a:solidFill>
          <a:srgbClr val="FFFFFF"/>
        </a:solidFill>
      </xdr:grpSpPr>
    </xdr:grpSp>
    <xdr:clientData fLocksWithSheet="0"/>
  </xdr:twoCellAnchor>
  <xdr:twoCellAnchor>
    <xdr:from>
      <xdr:col>20</xdr:col>
      <xdr:colOff>28575</xdr:colOff>
      <xdr:row>2</xdr:row>
      <xdr:rowOff>28575</xdr:rowOff>
    </xdr:from>
    <xdr:to>
      <xdr:col>20</xdr:col>
      <xdr:colOff>228600</xdr:colOff>
      <xdr:row>3</xdr:row>
      <xdr:rowOff>161925</xdr:rowOff>
    </xdr:to>
    <xdr:grpSp>
      <xdr:nvGrpSpPr>
        <xdr:cNvPr id="56" name="Gruppieren 4"/>
        <xdr:cNvGrpSpPr>
          <a:grpSpLocks/>
        </xdr:cNvGrpSpPr>
      </xdr:nvGrpSpPr>
      <xdr:grpSpPr>
        <a:xfrm>
          <a:off x="8686800" y="447675"/>
          <a:ext cx="200025" cy="314325"/>
          <a:chOff x="8099534" y="221374"/>
          <a:chExt cx="200025" cy="317281"/>
        </a:xfrm>
        <a:solidFill>
          <a:srgbClr val="FFFFFF"/>
        </a:solidFill>
      </xdr:grpSpPr>
    </xdr:grpSp>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plittermond.de/schnellstarter-jetzt-als-download-verfugbar/" TargetMode="External" /><Relationship Id="rId2" Type="http://schemas.openxmlformats.org/officeDocument/2006/relationships/hyperlink" Target="http://forum.splittermond.de/index.php?topic=252.0" TargetMode="External" /><Relationship Id="rId3" Type="http://schemas.openxmlformats.org/officeDocument/2006/relationships/hyperlink" Target="http://forum.splittermond.de/index.php?topic=267.0" TargetMode="Externa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J17"/>
  <sheetViews>
    <sheetView showGridLines="0" tabSelected="1" zoomScale="130" zoomScaleNormal="130" zoomScalePageLayoutView="0" workbookViewId="0" topLeftCell="A1">
      <pane ySplit="3" topLeftCell="BM4" activePane="bottomLeft" state="frozen"/>
      <selection pane="topLeft" activeCell="A4" sqref="A4"/>
      <selection pane="bottomLeft" activeCell="A4" sqref="A4"/>
    </sheetView>
  </sheetViews>
  <sheetFormatPr defaultColWidth="11.421875" defaultRowHeight="12.75"/>
  <cols>
    <col min="1" max="1" width="3.140625" style="7" customWidth="1"/>
    <col min="2" max="2" width="68.140625" style="7" customWidth="1"/>
    <col min="3" max="3" width="10.140625" style="7" bestFit="1" customWidth="1"/>
    <col min="4" max="4" width="44.57421875" style="7" customWidth="1"/>
    <col min="5" max="16384" width="11.421875" style="7" customWidth="1"/>
  </cols>
  <sheetData>
    <row r="1" spans="1:10" ht="19.5">
      <c r="A1" s="6"/>
      <c r="B1" s="255" t="s">
        <v>474</v>
      </c>
      <c r="C1" s="241"/>
      <c r="D1" s="241"/>
      <c r="E1" s="241"/>
      <c r="F1" s="241"/>
      <c r="G1" s="241"/>
      <c r="H1" s="241"/>
      <c r="I1" s="241"/>
      <c r="J1" s="241"/>
    </row>
    <row r="2" spans="2:3" s="257" customFormat="1" ht="10.5">
      <c r="B2" s="256" t="s">
        <v>505</v>
      </c>
      <c r="C2" s="258" t="s">
        <v>506</v>
      </c>
    </row>
    <row r="3" spans="2:3" s="257" customFormat="1" ht="10.5">
      <c r="B3" s="256" t="s">
        <v>507</v>
      </c>
      <c r="C3" s="260" t="s">
        <v>508</v>
      </c>
    </row>
    <row r="4" s="220" customFormat="1" ht="167.25">
      <c r="A4" s="221"/>
    </row>
    <row r="5" spans="1:3" s="220" customFormat="1" ht="61.5" customHeight="1">
      <c r="A5" s="219"/>
      <c r="B5" s="297" t="s">
        <v>527</v>
      </c>
      <c r="C5" s="297"/>
    </row>
    <row r="6" spans="1:2" ht="15">
      <c r="A6" s="6"/>
      <c r="B6" s="86" t="s">
        <v>504</v>
      </c>
    </row>
    <row r="7" spans="1:3" ht="60.75" customHeight="1">
      <c r="A7" s="6"/>
      <c r="B7" s="297" t="s">
        <v>526</v>
      </c>
      <c r="C7" s="297"/>
    </row>
    <row r="8" spans="1:3" ht="62.25" customHeight="1">
      <c r="A8" s="6"/>
      <c r="B8" s="259" t="s">
        <v>532</v>
      </c>
      <c r="C8" s="259"/>
    </row>
    <row r="9" spans="1:2" s="220" customFormat="1" ht="15">
      <c r="A9" s="219"/>
      <c r="B9" s="222" t="s">
        <v>503</v>
      </c>
    </row>
    <row r="10" spans="1:3" s="220" customFormat="1" ht="90" customHeight="1">
      <c r="A10" s="219"/>
      <c r="B10" s="297" t="s">
        <v>528</v>
      </c>
      <c r="C10" s="297"/>
    </row>
    <row r="11" spans="1:2" ht="15">
      <c r="A11" s="6"/>
      <c r="B11" s="86" t="s">
        <v>384</v>
      </c>
    </row>
    <row r="12" spans="1:3" ht="51" customHeight="1">
      <c r="A12" s="6"/>
      <c r="B12" s="297" t="s">
        <v>386</v>
      </c>
      <c r="C12" s="297"/>
    </row>
    <row r="13" spans="1:2" ht="27" customHeight="1">
      <c r="A13" s="6"/>
      <c r="B13" s="87" t="s">
        <v>385</v>
      </c>
    </row>
    <row r="14" spans="1:3" ht="34.5" customHeight="1">
      <c r="A14" s="6"/>
      <c r="B14" s="297" t="s">
        <v>531</v>
      </c>
      <c r="C14" s="297"/>
    </row>
    <row r="15" spans="1:2" ht="26.25" customHeight="1">
      <c r="A15" s="6"/>
      <c r="B15" s="87" t="s">
        <v>530</v>
      </c>
    </row>
    <row r="16" spans="1:3" ht="48" customHeight="1">
      <c r="A16" s="6"/>
      <c r="B16" s="297" t="s">
        <v>529</v>
      </c>
      <c r="C16" s="297"/>
    </row>
    <row r="17" spans="1:2" ht="15">
      <c r="A17" s="6"/>
      <c r="B17" s="87" t="s">
        <v>387</v>
      </c>
    </row>
  </sheetData>
  <sheetProtection sheet="1"/>
  <mergeCells count="7">
    <mergeCell ref="B14:C14"/>
    <mergeCell ref="B16:C16"/>
    <mergeCell ref="B5:C5"/>
    <mergeCell ref="B10:C10"/>
    <mergeCell ref="B7:C7"/>
    <mergeCell ref="B12:C12"/>
    <mergeCell ref="B8:C8"/>
  </mergeCells>
  <dataValidations count="1">
    <dataValidation type="list" allowBlank="1" showInputMessage="1" showErrorMessage="1" sqref="E15 E17:E68">
      <formula1>RASSE</formula1>
    </dataValidation>
  </dataValidations>
  <hyperlinks>
    <hyperlink ref="B13" r:id="rId1" display="http://splittermond.de/schnellstarter-jetzt-als-download-verfugbar/"/>
    <hyperlink ref="B15" r:id="rId2" display="http://forum.splittermond.de/index.php?topic=252.0"/>
    <hyperlink ref="B17" r:id="rId3" display="http://forum.splittermond.de/index.php?topic=267.0"/>
  </hyperlinks>
  <printOptions/>
  <pageMargins left="0.7874015748031497" right="0.7874015748031497" top="0.984251968503937" bottom="0.984251968503937" header="0.5118110236220472" footer="0.5118110236220472"/>
  <pageSetup fitToHeight="1" fitToWidth="1" horizontalDpi="300" verticalDpi="300" orientation="portrait" paperSize="9" scale="99" r:id="rId5"/>
  <headerFooter alignWithMargins="0">
    <oddHeader>&amp;R&amp;"Verdana,Standard"&amp;8Splittermond - Charakter-Generator (Beta) - v.1.1</oddHeader>
    <oddFooter>&amp;L&amp;"Verdana,Standard"&amp;8Marcus Renner - 18.06.2013</oddFooter>
  </headerFooter>
  <drawing r:id="rId4"/>
</worksheet>
</file>

<file path=xl/worksheets/sheet10.xml><?xml version="1.0" encoding="utf-8"?>
<worksheet xmlns="http://schemas.openxmlformats.org/spreadsheetml/2006/main" xmlns:r="http://schemas.openxmlformats.org/officeDocument/2006/relationships">
  <sheetPr>
    <tabColor indexed="8"/>
    <pageSetUpPr fitToPage="1"/>
  </sheetPr>
  <dimension ref="A1:F43"/>
  <sheetViews>
    <sheetView showGridLines="0" zoomScalePageLayoutView="0" workbookViewId="0" topLeftCell="A1">
      <pane ySplit="3" topLeftCell="BM4" activePane="bottomLeft" state="frozen"/>
      <selection pane="topLeft" activeCell="A4" sqref="A4"/>
      <selection pane="bottomLeft" activeCell="A4" sqref="A4"/>
    </sheetView>
  </sheetViews>
  <sheetFormatPr defaultColWidth="11.421875" defaultRowHeight="12.75"/>
  <cols>
    <col min="1" max="1" width="27.57421875" style="7" customWidth="1"/>
    <col min="2" max="2" width="23.57421875" style="7" bestFit="1" customWidth="1"/>
    <col min="3" max="3" width="15.00390625" style="7" bestFit="1" customWidth="1"/>
    <col min="4" max="4" width="10.00390625" style="7" bestFit="1" customWidth="1"/>
    <col min="5" max="5" width="18.57421875" style="7" bestFit="1" customWidth="1"/>
    <col min="6" max="6" width="10.00390625" style="7" bestFit="1" customWidth="1"/>
    <col min="7" max="16384" width="11.421875" style="7" customWidth="1"/>
  </cols>
  <sheetData>
    <row r="1" spans="1:6" s="8" customFormat="1" ht="19.5">
      <c r="A1" s="137" t="s">
        <v>463</v>
      </c>
      <c r="B1" s="137"/>
      <c r="C1" s="137"/>
      <c r="D1" s="137"/>
      <c r="E1" s="137"/>
      <c r="F1" s="137"/>
    </row>
    <row r="3" spans="1:6" ht="12.75">
      <c r="A3" s="9" t="s">
        <v>237</v>
      </c>
      <c r="B3" s="9" t="s">
        <v>421</v>
      </c>
      <c r="C3" s="9" t="s">
        <v>464</v>
      </c>
      <c r="D3" s="9" t="s">
        <v>467</v>
      </c>
      <c r="E3" s="9" t="s">
        <v>465</v>
      </c>
      <c r="F3" s="9" t="s">
        <v>467</v>
      </c>
    </row>
    <row r="4" spans="1:6" ht="12.75">
      <c r="A4" s="10" t="str">
        <f>'GENERIERUNG VORTEILE'!$C$7</f>
        <v>Albenohren</v>
      </c>
      <c r="B4" s="10" t="str">
        <f>WAH</f>
        <v>Wahrnehmung</v>
      </c>
      <c r="C4" s="11"/>
      <c r="D4" s="11">
        <f aca="true" t="shared" si="0" ref="D4:D43">IF(C4="",0,IF(VLOOKUP(A4,VORTEILTABLEAU,5)&gt;0,C4,0))</f>
        <v>0</v>
      </c>
      <c r="E4" s="11">
        <v>3</v>
      </c>
      <c r="F4" s="11">
        <f aca="true" t="shared" si="1" ref="F4:F43">IF(E4="","",IF(VLOOKUP(A4,VORTEILTABLEAU,5)&gt;0,1,""))</f>
      </c>
    </row>
    <row r="5" spans="1:6" ht="12.75">
      <c r="A5" s="10" t="str">
        <f>'GENERIERUNG VORTEILE'!$C$8</f>
        <v>Angesehener Priester</v>
      </c>
      <c r="B5" s="10"/>
      <c r="C5" s="11"/>
      <c r="D5" s="11">
        <f t="shared" si="0"/>
        <v>0</v>
      </c>
      <c r="E5" s="11"/>
      <c r="F5" s="11">
        <f t="shared" si="1"/>
      </c>
    </row>
    <row r="6" spans="1:6" ht="12.75">
      <c r="A6" s="10" t="str">
        <f>'GENERIERUNG VORTEILE'!$C$9</f>
        <v>Artefakt Feuermagie</v>
      </c>
      <c r="B6" s="10" t="str">
        <f>MFE</f>
        <v>Magieschule Feuer</v>
      </c>
      <c r="C6" s="11">
        <v>1</v>
      </c>
      <c r="D6" s="11">
        <f t="shared" si="0"/>
        <v>0</v>
      </c>
      <c r="E6" s="11"/>
      <c r="F6" s="11">
        <f t="shared" si="1"/>
      </c>
    </row>
    <row r="7" spans="1:6" ht="12.75">
      <c r="A7" s="10" t="str">
        <f>'GENERIERUNG VORTEILE'!$C$10</f>
        <v>Attraktivität</v>
      </c>
      <c r="B7" s="10" t="str">
        <f>RED</f>
        <v>Redekunst</v>
      </c>
      <c r="C7" s="11"/>
      <c r="D7" s="11">
        <f t="shared" si="0"/>
        <v>0</v>
      </c>
      <c r="E7" s="11">
        <v>2</v>
      </c>
      <c r="F7" s="11">
        <f t="shared" si="1"/>
      </c>
    </row>
    <row r="8" spans="1:6" ht="12.75">
      <c r="A8" s="10" t="str">
        <f>'GENERIERUNG VORTEILE'!$C$11</f>
        <v>Balance</v>
      </c>
      <c r="B8" s="10" t="str">
        <f>AKR</f>
        <v>Akrobatik</v>
      </c>
      <c r="C8" s="11"/>
      <c r="D8" s="11">
        <f t="shared" si="0"/>
        <v>0</v>
      </c>
      <c r="E8" s="11">
        <v>2</v>
      </c>
      <c r="F8" s="11">
        <f t="shared" si="1"/>
      </c>
    </row>
    <row r="9" spans="1:6" ht="12.75">
      <c r="A9" s="10" t="str">
        <f>'GENERIERUNG VORTEILE'!$C$12</f>
        <v>Dickschädel</v>
      </c>
      <c r="B9" s="10" t="str">
        <f>GWI</f>
        <v>Geistiger Widerstand</v>
      </c>
      <c r="C9" s="11">
        <v>3</v>
      </c>
      <c r="D9" s="11">
        <f t="shared" si="0"/>
        <v>0</v>
      </c>
      <c r="E9" s="11"/>
      <c r="F9" s="11">
        <f t="shared" si="1"/>
      </c>
    </row>
    <row r="10" spans="1:6" ht="12.75">
      <c r="A10" s="10" t="str">
        <f>'GENERIERUNG VORTEILE'!$C$12</f>
        <v>Dickschädel</v>
      </c>
      <c r="B10" s="10" t="str">
        <f>ENT</f>
        <v>Entschlossenheit</v>
      </c>
      <c r="C10" s="11">
        <v>3</v>
      </c>
      <c r="D10" s="11">
        <f t="shared" si="0"/>
        <v>0</v>
      </c>
      <c r="E10" s="11"/>
      <c r="F10" s="11">
        <f t="shared" si="1"/>
      </c>
    </row>
    <row r="11" spans="1:6" ht="12.75">
      <c r="A11" s="10" t="str">
        <f>'GENERIERUNG VORTEILE'!$C$13</f>
        <v>Ehrenkodex</v>
      </c>
      <c r="B11" s="10" t="str">
        <f>GWI</f>
        <v>Geistiger Widerstand</v>
      </c>
      <c r="C11" s="11"/>
      <c r="D11" s="11">
        <f t="shared" si="0"/>
        <v>0</v>
      </c>
      <c r="E11" s="11">
        <v>2</v>
      </c>
      <c r="F11" s="11">
        <f t="shared" si="1"/>
      </c>
    </row>
    <row r="12" spans="1:6" ht="12.75">
      <c r="A12" s="10" t="str">
        <f>'GENERIERUNG VORTEILE'!$C$13</f>
        <v>Ehrenkodex</v>
      </c>
      <c r="B12" s="10" t="str">
        <f>ENT</f>
        <v>Entschlossenheit</v>
      </c>
      <c r="C12" s="11"/>
      <c r="D12" s="11">
        <f t="shared" si="0"/>
        <v>0</v>
      </c>
      <c r="E12" s="11">
        <v>2</v>
      </c>
      <c r="F12" s="11">
        <f t="shared" si="1"/>
      </c>
    </row>
    <row r="13" spans="1:6" ht="12.75">
      <c r="A13" s="10" t="str">
        <f>'GENERIERUNG VORTEILE'!$C$13</f>
        <v>Ehrenkodex</v>
      </c>
      <c r="B13" s="10" t="str">
        <f>ZÄH</f>
        <v>Zähigkeit</v>
      </c>
      <c r="C13" s="11"/>
      <c r="D13" s="11">
        <f t="shared" si="0"/>
        <v>0</v>
      </c>
      <c r="E13" s="11">
        <v>2</v>
      </c>
      <c r="F13" s="11">
        <f t="shared" si="1"/>
      </c>
    </row>
    <row r="14" spans="1:6" ht="12.75">
      <c r="A14" s="10" t="str">
        <f>'GENERIERUNG VORTEILE'!$C$14</f>
        <v>Erbe der Feenwelt</v>
      </c>
      <c r="B14" s="10"/>
      <c r="C14" s="11"/>
      <c r="D14" s="11">
        <f t="shared" si="0"/>
        <v>0</v>
      </c>
      <c r="E14" s="11"/>
      <c r="F14" s="11">
        <f t="shared" si="1"/>
      </c>
    </row>
    <row r="15" spans="1:6" ht="12.75">
      <c r="A15" s="10" t="str">
        <f>'GENERIERUNG VORTEILE'!$C$15</f>
        <v>Erhöhte Fokusregeneration</v>
      </c>
      <c r="B15" s="10"/>
      <c r="C15" s="11"/>
      <c r="D15" s="11">
        <f t="shared" si="0"/>
        <v>0</v>
      </c>
      <c r="E15" s="11"/>
      <c r="F15" s="11">
        <f t="shared" si="1"/>
      </c>
    </row>
    <row r="16" spans="1:6" ht="12.75">
      <c r="A16" s="10" t="str">
        <f>'GENERIERUNG VORTEILE'!$C$16</f>
        <v>Erhöhter Fokus</v>
      </c>
      <c r="B16" s="10" t="str">
        <f>FOK</f>
        <v>Fokus</v>
      </c>
      <c r="C16" s="11">
        <v>10</v>
      </c>
      <c r="D16" s="11">
        <f t="shared" si="0"/>
        <v>0</v>
      </c>
      <c r="E16" s="11"/>
      <c r="F16" s="11">
        <f t="shared" si="1"/>
      </c>
    </row>
    <row r="17" spans="1:6" ht="12.75">
      <c r="A17" s="10" t="str">
        <f>'GENERIERUNG VORTEILE'!$C$17</f>
        <v>Flink</v>
      </c>
      <c r="B17" s="10" t="str">
        <f>GSW</f>
        <v>Geschwindigkeit</v>
      </c>
      <c r="C17" s="11">
        <v>1</v>
      </c>
      <c r="D17" s="11">
        <f t="shared" si="0"/>
        <v>0</v>
      </c>
      <c r="E17" s="11"/>
      <c r="F17" s="11">
        <f t="shared" si="1"/>
      </c>
    </row>
    <row r="18" spans="1:6" ht="12.75">
      <c r="A18" s="10" t="str">
        <f>'GENERIERUNG VORTEILE'!$C$18</f>
        <v>Gesellig</v>
      </c>
      <c r="B18" s="10" t="str">
        <f>RED</f>
        <v>Redekunst</v>
      </c>
      <c r="C18" s="11"/>
      <c r="D18" s="11">
        <f t="shared" si="0"/>
        <v>0</v>
      </c>
      <c r="E18" s="11">
        <v>2</v>
      </c>
      <c r="F18" s="11">
        <f t="shared" si="1"/>
      </c>
    </row>
    <row r="19" spans="1:6" ht="12.75">
      <c r="A19" s="10" t="str">
        <f>'GENERIERUNG VORTEILE'!$C$19</f>
        <v>Giftresistenz</v>
      </c>
      <c r="B19" s="10" t="str">
        <f>KWI</f>
        <v>Körperlicher Widerstand</v>
      </c>
      <c r="C19" s="11"/>
      <c r="D19" s="11">
        <f t="shared" si="0"/>
        <v>0</v>
      </c>
      <c r="E19" s="11">
        <v>3</v>
      </c>
      <c r="F19" s="11">
        <f t="shared" si="1"/>
      </c>
    </row>
    <row r="20" spans="1:6" ht="12.75">
      <c r="A20" s="10" t="str">
        <f>'GENERIERUNG VORTEILE'!$C$19</f>
        <v>Giftresistenz</v>
      </c>
      <c r="B20" s="10" t="str">
        <f>ZÄH</f>
        <v>Zähigkeit</v>
      </c>
      <c r="C20" s="11"/>
      <c r="D20" s="11">
        <f t="shared" si="0"/>
        <v>0</v>
      </c>
      <c r="E20" s="11">
        <v>3</v>
      </c>
      <c r="F20" s="11">
        <f t="shared" si="1"/>
      </c>
    </row>
    <row r="21" spans="1:6" ht="12.75">
      <c r="A21" s="10" t="str">
        <f>'GENERIERUNG VORTEILE'!$C$20</f>
        <v>Gnomennase</v>
      </c>
      <c r="B21" s="10" t="str">
        <f>WAH</f>
        <v>Wahrnehmung</v>
      </c>
      <c r="C21" s="11"/>
      <c r="D21" s="11">
        <f t="shared" si="0"/>
        <v>0</v>
      </c>
      <c r="E21" s="11">
        <v>3</v>
      </c>
      <c r="F21" s="11">
        <f t="shared" si="1"/>
      </c>
    </row>
    <row r="22" spans="1:6" ht="12.75">
      <c r="A22" s="10" t="str">
        <f>'GENERIERUNG VORTEILE'!$C$21</f>
        <v>Hetzjäger</v>
      </c>
      <c r="B22" s="10"/>
      <c r="C22" s="11"/>
      <c r="D22" s="11">
        <f t="shared" si="0"/>
        <v>0</v>
      </c>
      <c r="E22" s="11"/>
      <c r="F22" s="11">
        <f t="shared" si="1"/>
      </c>
    </row>
    <row r="23" spans="1:6" ht="12.75">
      <c r="A23" s="10" t="str">
        <f>'GENERIERUNG VORTEILE'!$C$22</f>
        <v>Kind der Dämmerung</v>
      </c>
      <c r="B23" s="10"/>
      <c r="C23" s="11"/>
      <c r="D23" s="11">
        <f t="shared" si="0"/>
        <v>0</v>
      </c>
      <c r="E23" s="11"/>
      <c r="F23" s="11">
        <f t="shared" si="1"/>
      </c>
    </row>
    <row r="24" spans="1:6" ht="12.75">
      <c r="A24" s="10" t="str">
        <f>'GENERIERUNG VORTEILE'!$C$23</f>
        <v>Kontakte</v>
      </c>
      <c r="B24" s="10" t="str">
        <f>STR</f>
        <v>Straßenkunde</v>
      </c>
      <c r="C24" s="11"/>
      <c r="D24" s="11">
        <f t="shared" si="0"/>
        <v>0</v>
      </c>
      <c r="E24" s="11">
        <v>1</v>
      </c>
      <c r="F24" s="11">
        <f t="shared" si="1"/>
      </c>
    </row>
    <row r="25" spans="1:6" ht="12.75">
      <c r="A25" s="10" t="str">
        <f>'GENERIERUNG VORTEILE'!$C$24</f>
        <v>Langlebigkeit</v>
      </c>
      <c r="B25" s="10"/>
      <c r="C25" s="11"/>
      <c r="D25" s="11">
        <f t="shared" si="0"/>
        <v>0</v>
      </c>
      <c r="E25" s="11"/>
      <c r="F25" s="11">
        <f t="shared" si="1"/>
      </c>
    </row>
    <row r="26" spans="1:6" ht="12.75">
      <c r="A26" s="10" t="str">
        <f>'GENERIERUNG VORTEILE'!$C$25</f>
        <v>Natürliche Rüstung</v>
      </c>
      <c r="B26" s="10"/>
      <c r="C26" s="11"/>
      <c r="D26" s="11">
        <f t="shared" si="0"/>
        <v>0</v>
      </c>
      <c r="E26" s="11"/>
      <c r="F26" s="11">
        <f t="shared" si="1"/>
      </c>
    </row>
    <row r="27" spans="1:6" ht="12.75">
      <c r="A27" s="10" t="str">
        <f>'GENERIERUNG VORTEILE'!$C$26</f>
        <v>Richtungssinn</v>
      </c>
      <c r="B27" s="10" t="str">
        <f>ÜBE</f>
        <v>Überleben</v>
      </c>
      <c r="C27" s="11"/>
      <c r="D27" s="11">
        <f t="shared" si="0"/>
        <v>0</v>
      </c>
      <c r="E27" s="11">
        <v>3</v>
      </c>
      <c r="F27" s="11">
        <f t="shared" si="1"/>
      </c>
    </row>
    <row r="28" spans="1:6" ht="12.75">
      <c r="A28" s="10" t="str">
        <f>'GENERIERUNG VORTEILE'!$C$27</f>
        <v>Scharfe Augen</v>
      </c>
      <c r="B28" s="10" t="str">
        <f>WAH</f>
        <v>Wahrnehmung</v>
      </c>
      <c r="C28" s="11"/>
      <c r="D28" s="11">
        <f t="shared" si="0"/>
        <v>0</v>
      </c>
      <c r="E28" s="11">
        <v>3</v>
      </c>
      <c r="F28" s="11">
        <f t="shared" si="1"/>
      </c>
    </row>
    <row r="29" spans="1:6" ht="12.75">
      <c r="A29" s="10" t="str">
        <f>'GENERIERUNG VORTEILE'!$C$28</f>
        <v>Scharfe Ohren</v>
      </c>
      <c r="B29" s="10" t="str">
        <f>WAH</f>
        <v>Wahrnehmung</v>
      </c>
      <c r="C29" s="11"/>
      <c r="D29" s="11">
        <f t="shared" si="0"/>
        <v>0</v>
      </c>
      <c r="E29" s="11">
        <v>3</v>
      </c>
      <c r="F29" s="11">
        <f t="shared" si="1"/>
      </c>
    </row>
    <row r="30" spans="1:6" ht="12.75">
      <c r="A30" s="10" t="str">
        <f>'GENERIERUNG VORTEILE'!$C$29</f>
        <v>Scharfes Gehör</v>
      </c>
      <c r="B30" s="10" t="str">
        <f>WAH</f>
        <v>Wahrnehmung</v>
      </c>
      <c r="C30" s="11"/>
      <c r="D30" s="11">
        <f t="shared" si="0"/>
        <v>0</v>
      </c>
      <c r="E30" s="11">
        <v>3</v>
      </c>
      <c r="F30" s="11">
        <f t="shared" si="1"/>
      </c>
    </row>
    <row r="31" spans="1:6" ht="12.75">
      <c r="A31" s="10" t="str">
        <f>'GENERIERUNG VORTEILE'!$C$30</f>
        <v>Schnelle Heilung</v>
      </c>
      <c r="B31" s="10"/>
      <c r="C31" s="11"/>
      <c r="D31" s="11">
        <f t="shared" si="0"/>
        <v>0</v>
      </c>
      <c r="E31" s="11"/>
      <c r="F31" s="11">
        <f t="shared" si="1"/>
      </c>
    </row>
    <row r="32" spans="1:6" ht="12.75">
      <c r="A32" s="10" t="str">
        <f>'GENERIERUNG VORTEILE'!$C$31</f>
        <v>Schöne Stimme</v>
      </c>
      <c r="B32" s="10" t="str">
        <f>RED</f>
        <v>Redekunst</v>
      </c>
      <c r="C32" s="11"/>
      <c r="D32" s="11">
        <f t="shared" si="0"/>
        <v>0</v>
      </c>
      <c r="E32" s="11">
        <v>2</v>
      </c>
      <c r="F32" s="11">
        <f t="shared" si="1"/>
      </c>
    </row>
    <row r="33" spans="1:6" ht="12.75">
      <c r="A33" s="10" t="str">
        <f>'GENERIERUNG VORTEILE'!$C$32</f>
        <v>Spürnase</v>
      </c>
      <c r="B33" s="10" t="str">
        <f>WAH</f>
        <v>Wahrnehmung</v>
      </c>
      <c r="C33" s="11"/>
      <c r="D33" s="11">
        <f t="shared" si="0"/>
        <v>0</v>
      </c>
      <c r="E33" s="11">
        <v>3</v>
      </c>
      <c r="F33" s="11">
        <f t="shared" si="1"/>
      </c>
    </row>
    <row r="34" spans="1:6" ht="12.75">
      <c r="A34" s="10" t="str">
        <f>'GENERIERUNG VORTEILE'!$C$33</f>
        <v>Stand</v>
      </c>
      <c r="B34" s="10"/>
      <c r="C34" s="11"/>
      <c r="D34" s="11">
        <f t="shared" si="0"/>
        <v>0</v>
      </c>
      <c r="E34" s="11"/>
      <c r="F34" s="11">
        <f t="shared" si="1"/>
      </c>
    </row>
    <row r="35" spans="1:6" ht="12.75">
      <c r="A35" s="10" t="str">
        <f>'GENERIERUNG VORTEILE'!$C$34</f>
        <v>Tierfreund</v>
      </c>
      <c r="B35" s="10" t="str">
        <f>TIE</f>
        <v>Tierführung</v>
      </c>
      <c r="C35" s="11"/>
      <c r="D35" s="11">
        <f t="shared" si="0"/>
        <v>0</v>
      </c>
      <c r="E35" s="11">
        <v>3</v>
      </c>
      <c r="F35" s="11">
        <f t="shared" si="1"/>
      </c>
    </row>
    <row r="36" spans="1:6" ht="12.75">
      <c r="A36" s="10" t="str">
        <f>'GENERIERUNG VORTEILE'!$C$35</f>
        <v>Träger des Siegels</v>
      </c>
      <c r="B36" s="10" t="str">
        <f>MFE</f>
        <v>Magieschule Feuer</v>
      </c>
      <c r="C36" s="11">
        <v>2</v>
      </c>
      <c r="D36" s="11">
        <f t="shared" si="0"/>
        <v>0</v>
      </c>
      <c r="E36" s="11"/>
      <c r="F36" s="11">
        <f t="shared" si="1"/>
      </c>
    </row>
    <row r="37" spans="1:6" ht="12.75">
      <c r="A37" s="10" t="str">
        <f>'GENERIERUNG VORTEILE'!$C$36</f>
        <v>Treuer Begleiter</v>
      </c>
      <c r="B37" s="10"/>
      <c r="C37" s="11"/>
      <c r="D37" s="11">
        <f t="shared" si="0"/>
        <v>0</v>
      </c>
      <c r="E37" s="11"/>
      <c r="F37" s="11">
        <f t="shared" si="1"/>
      </c>
    </row>
    <row r="38" spans="1:6" ht="12.75">
      <c r="A38" s="10" t="str">
        <f>'GENERIERUNG VORTEILE'!$C$37</f>
        <v>Von den Monden geküsst</v>
      </c>
      <c r="B38" s="10" t="str">
        <f>SPL</f>
        <v>Splitterpunkte</v>
      </c>
      <c r="C38" s="11">
        <v>2</v>
      </c>
      <c r="D38" s="11">
        <f t="shared" si="0"/>
        <v>0</v>
      </c>
      <c r="E38" s="11"/>
      <c r="F38" s="11">
        <f t="shared" si="1"/>
      </c>
    </row>
    <row r="39" spans="1:6" ht="12.75">
      <c r="A39" s="10" t="str">
        <f>'GENERIERUNG VORTEILE'!$C$38</f>
        <v>Wandelndes Labor</v>
      </c>
      <c r="B39" s="10"/>
      <c r="C39" s="11"/>
      <c r="D39" s="11">
        <f t="shared" si="0"/>
        <v>0</v>
      </c>
      <c r="E39" s="11"/>
      <c r="F39" s="11">
        <f t="shared" si="1"/>
      </c>
    </row>
    <row r="40" spans="1:6" ht="12.75">
      <c r="A40" s="10" t="str">
        <f>'GENERIERUNG VORTEILE'!$C$39</f>
        <v>Wasserelementar</v>
      </c>
      <c r="B40" s="10"/>
      <c r="C40" s="11"/>
      <c r="D40" s="11">
        <f t="shared" si="0"/>
        <v>0</v>
      </c>
      <c r="E40" s="11"/>
      <c r="F40" s="11">
        <f t="shared" si="1"/>
      </c>
    </row>
    <row r="41" spans="1:6" ht="12.75">
      <c r="A41" s="10" t="str">
        <f>'GENERIERUNG VORTEILE'!$C$40</f>
        <v>Zwergenmagen</v>
      </c>
      <c r="B41" s="10" t="str">
        <f>KWI</f>
        <v>Körperlicher Widerstand</v>
      </c>
      <c r="C41" s="11"/>
      <c r="D41" s="11">
        <f t="shared" si="0"/>
        <v>0</v>
      </c>
      <c r="E41" s="11">
        <v>8</v>
      </c>
      <c r="F41" s="11">
        <f t="shared" si="1"/>
      </c>
    </row>
    <row r="42" spans="1:6" ht="12.75">
      <c r="A42" s="10" t="str">
        <f>'GENERIERUNG VORTEILE'!$C$40</f>
        <v>Zwergenmagen</v>
      </c>
      <c r="B42" s="10" t="str">
        <f>ZÄH</f>
        <v>Zähigkeit</v>
      </c>
      <c r="C42" s="11"/>
      <c r="D42" s="11">
        <f t="shared" si="0"/>
        <v>0</v>
      </c>
      <c r="E42" s="11">
        <v>8</v>
      </c>
      <c r="F42" s="11">
        <f t="shared" si="1"/>
      </c>
    </row>
    <row r="43" spans="1:6" ht="12.75">
      <c r="A43" s="10" t="str">
        <f>'GENERIERUNG VORTEILE'!$C$41</f>
        <v>Zwergische Zähigkeit</v>
      </c>
      <c r="B43" s="10" t="str">
        <f>LEB</f>
        <v>Lebenspunkte</v>
      </c>
      <c r="C43" s="11">
        <v>1</v>
      </c>
      <c r="D43" s="11">
        <f t="shared" si="0"/>
        <v>0</v>
      </c>
      <c r="E43" s="11"/>
      <c r="F43" s="11">
        <f t="shared" si="1"/>
      </c>
    </row>
  </sheetData>
  <sheetProtection sheet="1"/>
  <printOptions/>
  <pageMargins left="0.3937007874015748" right="0.3937007874015748" top="0.5905511811023623" bottom="0.5905511811023623" header="0.3937007874015748" footer="0.3937007874015748"/>
  <pageSetup fitToHeight="1" fitToWidth="1" horizontalDpi="300" verticalDpi="300" orientation="portrait" paperSize="9" scale="92" r:id="rId1"/>
  <headerFooter alignWithMargins="0">
    <oddHeader>&amp;R&amp;"Verdana,Standard"&amp;8Splittermond - Charakter-Generator (Beta) - v.1.1</oddHeader>
    <oddFooter>&amp;L&amp;"Verdana,Standard"&amp;8Marcus Renner - 18.06.2013</oddFooter>
  </headerFooter>
</worksheet>
</file>

<file path=xl/worksheets/sheet11.xml><?xml version="1.0" encoding="utf-8"?>
<worksheet xmlns="http://schemas.openxmlformats.org/spreadsheetml/2006/main" xmlns:r="http://schemas.openxmlformats.org/officeDocument/2006/relationships">
  <sheetPr>
    <tabColor indexed="8"/>
    <pageSetUpPr fitToPage="1"/>
  </sheetPr>
  <dimension ref="A1:F46"/>
  <sheetViews>
    <sheetView showGridLines="0" zoomScalePageLayoutView="0" workbookViewId="0" topLeftCell="A1">
      <pane ySplit="3" topLeftCell="BM4" activePane="bottomLeft" state="frozen"/>
      <selection pane="topLeft" activeCell="A4" sqref="A4"/>
      <selection pane="bottomLeft" activeCell="A4" sqref="A4"/>
    </sheetView>
  </sheetViews>
  <sheetFormatPr defaultColWidth="11.421875" defaultRowHeight="12.75"/>
  <cols>
    <col min="1" max="1" width="30.421875" style="7" customWidth="1"/>
    <col min="2" max="2" width="23.57421875" style="7" bestFit="1" customWidth="1"/>
    <col min="3" max="3" width="15.00390625" style="7" bestFit="1" customWidth="1"/>
    <col min="4" max="4" width="10.00390625" style="7" bestFit="1" customWidth="1"/>
    <col min="5" max="5" width="18.57421875" style="7" bestFit="1" customWidth="1"/>
    <col min="6" max="6" width="10.00390625" style="7" bestFit="1" customWidth="1"/>
    <col min="7" max="16384" width="11.421875" style="7" customWidth="1"/>
  </cols>
  <sheetData>
    <row r="1" spans="1:6" s="8" customFormat="1" ht="19.5">
      <c r="A1" s="137" t="s">
        <v>469</v>
      </c>
      <c r="B1" s="137"/>
      <c r="C1" s="137"/>
      <c r="D1" s="137"/>
      <c r="E1" s="137"/>
      <c r="F1" s="137"/>
    </row>
    <row r="3" spans="1:6" ht="12.75">
      <c r="A3" s="9" t="s">
        <v>254</v>
      </c>
      <c r="B3" s="9" t="s">
        <v>421</v>
      </c>
      <c r="C3" s="9" t="s">
        <v>464</v>
      </c>
      <c r="D3" s="9" t="s">
        <v>467</v>
      </c>
      <c r="E3" s="9" t="s">
        <v>465</v>
      </c>
      <c r="F3" s="9" t="s">
        <v>467</v>
      </c>
    </row>
    <row r="4" spans="1:6" ht="12.75">
      <c r="A4" s="10" t="str">
        <f>'GENERIERUNG MEISTERSCHAFTEN'!$C$7</f>
        <v>Ausweichen</v>
      </c>
      <c r="B4" s="10" t="str">
        <f>VTD</f>
        <v>Verteidigung</v>
      </c>
      <c r="C4" s="11">
        <v>2</v>
      </c>
      <c r="D4" s="11">
        <f aca="true" t="shared" si="0" ref="D4:D46">IF(C4="",0,IF(VLOOKUP(A4,MEISTERSCHAFTTABLEAU,5)&gt;0,C4,0))</f>
        <v>0</v>
      </c>
      <c r="E4" s="11"/>
      <c r="F4" s="11">
        <f aca="true" t="shared" si="1" ref="F4:F46">IF(E4="","",IF(SUMIF(MEISTERSCHAFTTABLEAU,A4,MEISTERSCHAFTENSUMMEKOSTEN)&gt;0,1,""))</f>
      </c>
    </row>
    <row r="5" spans="1:6" ht="12.75">
      <c r="A5" s="10" t="str">
        <f>'GENERIERUNG MEISTERSCHAFTEN'!$C$7</f>
        <v>Ausweichen</v>
      </c>
      <c r="B5" s="10" t="str">
        <f>AKRABW</f>
        <v>Akrobatik Abwehr</v>
      </c>
      <c r="C5" s="11">
        <v>2</v>
      </c>
      <c r="D5" s="11">
        <f t="shared" si="0"/>
        <v>0</v>
      </c>
      <c r="E5" s="11"/>
      <c r="F5" s="11">
        <f t="shared" si="1"/>
      </c>
    </row>
    <row r="6" spans="1:6" ht="12.75">
      <c r="A6" s="10" t="str">
        <f>'GENERIERUNG MEISTERSCHAFTEN'!$C$8</f>
        <v>Blitzreflexe</v>
      </c>
      <c r="B6" s="10"/>
      <c r="C6" s="11"/>
      <c r="D6" s="11">
        <f t="shared" si="0"/>
        <v>0</v>
      </c>
      <c r="E6" s="11"/>
      <c r="F6" s="11">
        <f t="shared" si="1"/>
      </c>
    </row>
    <row r="7" spans="1:6" ht="12.75">
      <c r="A7" s="10" t="str">
        <f>'GENERIERUNG MEISTERSCHAFTEN'!$C$9</f>
        <v>Effizienz</v>
      </c>
      <c r="B7" s="10"/>
      <c r="C7" s="11"/>
      <c r="D7" s="11">
        <f t="shared" si="0"/>
        <v>0</v>
      </c>
      <c r="E7" s="11"/>
      <c r="F7" s="11">
        <f t="shared" si="1"/>
      </c>
    </row>
    <row r="8" spans="1:6" ht="12.75">
      <c r="A8" s="10" t="str">
        <f>'GENERIERUNG MEISTERSCHAFTEN'!$C$10</f>
        <v>Geselle</v>
      </c>
      <c r="B8" s="10"/>
      <c r="C8" s="11"/>
      <c r="D8" s="11">
        <f t="shared" si="0"/>
        <v>0</v>
      </c>
      <c r="E8" s="11"/>
      <c r="F8" s="11">
        <f t="shared" si="1"/>
      </c>
    </row>
    <row r="9" spans="1:6" ht="12.75">
      <c r="A9" s="10" t="str">
        <f>'GENERIERUNG MEISTERSCHAFTEN'!$C$11</f>
        <v>Sammeln</v>
      </c>
      <c r="B9" s="10"/>
      <c r="C9" s="11"/>
      <c r="D9" s="11">
        <f t="shared" si="0"/>
        <v>0</v>
      </c>
      <c r="E9" s="11"/>
      <c r="F9" s="11">
        <f t="shared" si="1"/>
      </c>
    </row>
    <row r="10" spans="1:6" ht="12.75">
      <c r="A10" s="10" t="str">
        <f>'GENERIERUNG MEISTERSCHAFTEN'!$C$12</f>
        <v>Arkane Verteidigung</v>
      </c>
      <c r="B10" s="10" t="str">
        <f>VTD</f>
        <v>Verteidigung</v>
      </c>
      <c r="C10" s="11"/>
      <c r="D10" s="11">
        <f t="shared" si="0"/>
        <v>0</v>
      </c>
      <c r="E10" s="11">
        <v>2</v>
      </c>
      <c r="F10" s="11">
        <f t="shared" si="1"/>
      </c>
    </row>
    <row r="11" spans="1:6" ht="12.75">
      <c r="A11" s="10" t="str">
        <f>'GENERIERUNG MEISTERSCHAFTEN'!$C$12</f>
        <v>Arkane Verteidigung</v>
      </c>
      <c r="B11" s="10" t="str">
        <f>KWI</f>
        <v>Körperlicher Widerstand</v>
      </c>
      <c r="C11" s="11"/>
      <c r="D11" s="11">
        <f t="shared" si="0"/>
        <v>0</v>
      </c>
      <c r="E11" s="11">
        <v>2</v>
      </c>
      <c r="F11" s="11">
        <f t="shared" si="1"/>
      </c>
    </row>
    <row r="12" spans="1:6" ht="12.75">
      <c r="A12" s="10" t="str">
        <f>'GENERIERUNG MEISTERSCHAFTEN'!$C$12</f>
        <v>Arkane Verteidigung</v>
      </c>
      <c r="B12" s="10" t="str">
        <f>GWI</f>
        <v>Geistiger Widerstand</v>
      </c>
      <c r="C12" s="11"/>
      <c r="D12" s="11">
        <f t="shared" si="0"/>
        <v>0</v>
      </c>
      <c r="E12" s="11">
        <v>2</v>
      </c>
      <c r="F12" s="11">
        <f t="shared" si="1"/>
      </c>
    </row>
    <row r="13" spans="1:6" ht="12.75">
      <c r="A13" s="10" t="str">
        <f>'GENERIERUNG MEISTERSCHAFTEN'!$C$12</f>
        <v>Arkane Verteidigung</v>
      </c>
      <c r="B13" s="10" t="str">
        <f>AKR</f>
        <v>Akrobatik</v>
      </c>
      <c r="C13" s="11"/>
      <c r="D13" s="11">
        <f t="shared" si="0"/>
        <v>0</v>
      </c>
      <c r="E13" s="11">
        <v>2</v>
      </c>
      <c r="F13" s="11">
        <f t="shared" si="1"/>
      </c>
    </row>
    <row r="14" spans="1:6" ht="12.75">
      <c r="A14" s="10" t="str">
        <f>'GENERIERUNG MEISTERSCHAFTEN'!$C$12</f>
        <v>Arkane Verteidigung</v>
      </c>
      <c r="B14" s="10" t="str">
        <f>ZÄH</f>
        <v>Zähigkeit</v>
      </c>
      <c r="C14" s="11"/>
      <c r="D14" s="11">
        <f t="shared" si="0"/>
        <v>0</v>
      </c>
      <c r="E14" s="11">
        <v>2</v>
      </c>
      <c r="F14" s="11">
        <f t="shared" si="1"/>
      </c>
    </row>
    <row r="15" spans="1:6" ht="12.75">
      <c r="A15" s="10" t="str">
        <f>'GENERIERUNG MEISTERSCHAFTEN'!$C$12</f>
        <v>Arkane Verteidigung</v>
      </c>
      <c r="B15" s="10" t="str">
        <f>ENT</f>
        <v>Entschlossenheit</v>
      </c>
      <c r="C15" s="11"/>
      <c r="D15" s="11">
        <f t="shared" si="0"/>
        <v>0</v>
      </c>
      <c r="E15" s="11">
        <v>2</v>
      </c>
      <c r="F15" s="11">
        <f t="shared" si="1"/>
      </c>
    </row>
    <row r="16" spans="1:6" ht="12.75">
      <c r="A16" s="10" t="str">
        <f>'GENERIERUNG MEISTERSCHAFTEN'!$C$13</f>
        <v>Artefaktkunde</v>
      </c>
      <c r="B16" s="10"/>
      <c r="C16" s="11"/>
      <c r="D16" s="11">
        <f t="shared" si="0"/>
        <v>0</v>
      </c>
      <c r="E16" s="11"/>
      <c r="F16" s="11">
        <f t="shared" si="1"/>
      </c>
    </row>
    <row r="17" spans="1:6" ht="12.75">
      <c r="A17" s="10" t="str">
        <f>'GENERIERUNG MEISTERSCHAFTEN'!$C$14</f>
        <v>Gegner durchschauen</v>
      </c>
      <c r="B17" s="10"/>
      <c r="C17" s="11"/>
      <c r="D17" s="11">
        <f t="shared" si="0"/>
        <v>0</v>
      </c>
      <c r="E17" s="11"/>
      <c r="F17" s="11">
        <f t="shared" si="1"/>
      </c>
    </row>
    <row r="18" spans="1:6" ht="12.75">
      <c r="A18" s="10" t="str">
        <f>'GENERIERUNG MEISTERSCHAFTEN'!$C$15</f>
        <v>Eiserner Wille</v>
      </c>
      <c r="B18" s="10" t="str">
        <f>ENT</f>
        <v>Entschlossenheit</v>
      </c>
      <c r="C18" s="11"/>
      <c r="D18" s="11">
        <f t="shared" si="0"/>
        <v>0</v>
      </c>
      <c r="E18" s="11">
        <v>3</v>
      </c>
      <c r="F18" s="11">
        <f t="shared" si="1"/>
      </c>
    </row>
    <row r="19" spans="1:6" ht="12.75">
      <c r="A19" s="10" t="str">
        <f>'GENERIERUNG MEISTERSCHAFTEN'!$C$16</f>
        <v>Diagnose</v>
      </c>
      <c r="B19" s="10" t="str">
        <f>HEI</f>
        <v>Heilkunde</v>
      </c>
      <c r="C19" s="11"/>
      <c r="D19" s="11">
        <f t="shared" si="0"/>
        <v>0</v>
      </c>
      <c r="E19" s="11">
        <v>2</v>
      </c>
      <c r="F19" s="11">
        <f t="shared" si="1"/>
      </c>
    </row>
    <row r="20" spans="1:6" ht="12.75">
      <c r="A20" s="10" t="str">
        <f>'GENERIERUNG MEISTERSCHAFTEN'!$C$17</f>
        <v>Heilung fördern</v>
      </c>
      <c r="B20" s="10"/>
      <c r="C20" s="11"/>
      <c r="D20" s="11">
        <f t="shared" si="0"/>
        <v>0</v>
      </c>
      <c r="E20" s="11"/>
      <c r="F20" s="11">
        <f t="shared" si="1"/>
      </c>
    </row>
    <row r="21" spans="1:6" ht="12.75">
      <c r="A21" s="10" t="str">
        <f>'GENERIERUNG MEISTERSCHAFTEN'!$C$18</f>
        <v>Lebensretter</v>
      </c>
      <c r="B21" s="10"/>
      <c r="C21" s="11"/>
      <c r="D21" s="11">
        <f t="shared" si="0"/>
        <v>0</v>
      </c>
      <c r="E21" s="11"/>
      <c r="F21" s="11">
        <f t="shared" si="1"/>
      </c>
    </row>
    <row r="22" spans="1:6" ht="12.75">
      <c r="A22" s="10" t="str">
        <f>'GENERIERUNG MEISTERSCHAFTEN'!$C$19</f>
        <v>Durch die Gassen</v>
      </c>
      <c r="B22" s="10" t="str">
        <f>HML</f>
        <v>Heimlichkeit</v>
      </c>
      <c r="C22" s="11"/>
      <c r="D22" s="11">
        <f t="shared" si="0"/>
        <v>0</v>
      </c>
      <c r="E22" s="11">
        <v>1</v>
      </c>
      <c r="F22" s="11">
        <f t="shared" si="1"/>
      </c>
    </row>
    <row r="23" spans="1:6" ht="12.75">
      <c r="A23" s="10" t="str">
        <f>'GENERIERUNG MEISTERSCHAFTEN'!$C$20</f>
        <v>Durch die Wildnis</v>
      </c>
      <c r="B23" s="10" t="str">
        <f>HML</f>
        <v>Heimlichkeit</v>
      </c>
      <c r="C23" s="11"/>
      <c r="D23" s="11">
        <f t="shared" si="0"/>
        <v>0</v>
      </c>
      <c r="E23" s="11">
        <v>1</v>
      </c>
      <c r="F23" s="11">
        <f t="shared" si="1"/>
      </c>
    </row>
    <row r="24" spans="1:6" ht="12.75">
      <c r="A24" s="10" t="str">
        <f>'GENERIERUNG MEISTERSCHAFTEN'!$C$21</f>
        <v>Schmetterschlag</v>
      </c>
      <c r="B24" s="10"/>
      <c r="C24" s="11"/>
      <c r="D24" s="11">
        <f t="shared" si="0"/>
        <v>0</v>
      </c>
      <c r="E24" s="11"/>
      <c r="F24" s="11">
        <f t="shared" si="1"/>
      </c>
    </row>
    <row r="25" spans="1:6" ht="12.75">
      <c r="A25" s="10" t="str">
        <f>'GENERIERUNG MEISTERSCHAFTEN'!$C$22</f>
        <v>Umreißen</v>
      </c>
      <c r="B25" s="10"/>
      <c r="C25" s="11"/>
      <c r="D25" s="11">
        <f t="shared" si="0"/>
        <v>0</v>
      </c>
      <c r="E25" s="11"/>
      <c r="F25" s="11">
        <f t="shared" si="1"/>
      </c>
    </row>
    <row r="26" spans="1:6" ht="12.75">
      <c r="A26" s="10" t="str">
        <f>'GENERIERUNG MEISTERSCHAFTEN'!$C$23</f>
        <v>Starker Schildarm</v>
      </c>
      <c r="B26" s="10"/>
      <c r="C26" s="11"/>
      <c r="D26" s="11">
        <f t="shared" si="0"/>
        <v>0</v>
      </c>
      <c r="E26" s="11"/>
      <c r="F26" s="11">
        <f t="shared" si="1"/>
      </c>
    </row>
    <row r="27" spans="1:6" ht="12.75">
      <c r="A27" s="10" t="str">
        <f>'GENERIERUNG MEISTERSCHAFTEN'!$C$24</f>
        <v>Verteidiger</v>
      </c>
      <c r="B27" s="10"/>
      <c r="C27" s="11"/>
      <c r="D27" s="11">
        <f t="shared" si="0"/>
        <v>0</v>
      </c>
      <c r="E27" s="11"/>
      <c r="F27" s="11">
        <f t="shared" si="1"/>
      </c>
    </row>
    <row r="28" spans="1:6" ht="12.75">
      <c r="A28" s="10" t="str">
        <f>'GENERIERUNG MEISTERSCHAFTEN'!$C$25</f>
        <v>Vorstürmen</v>
      </c>
      <c r="B28" s="10"/>
      <c r="C28" s="11"/>
      <c r="D28" s="11">
        <f t="shared" si="0"/>
        <v>0</v>
      </c>
      <c r="E28" s="11"/>
      <c r="F28" s="11">
        <f t="shared" si="1"/>
      </c>
    </row>
    <row r="29" spans="1:6" ht="12.75">
      <c r="A29" s="10" t="str">
        <f>'GENERIERUNG MEISTERSCHAFTEN'!$C$26</f>
        <v>Schild umschlagen</v>
      </c>
      <c r="B29" s="10"/>
      <c r="C29" s="11"/>
      <c r="D29" s="11">
        <f t="shared" si="0"/>
        <v>0</v>
      </c>
      <c r="E29" s="11"/>
      <c r="F29" s="11">
        <f t="shared" si="1"/>
      </c>
    </row>
    <row r="30" spans="1:6" ht="12.75">
      <c r="A30" s="10" t="str">
        <f>'GENERIERUNG MEISTERSCHAFTEN'!$C$27</f>
        <v>Umreißen</v>
      </c>
      <c r="B30" s="10"/>
      <c r="C30" s="11"/>
      <c r="D30" s="11">
        <f t="shared" si="0"/>
        <v>0</v>
      </c>
      <c r="E30" s="11"/>
      <c r="F30" s="11">
        <f t="shared" si="1"/>
      </c>
    </row>
    <row r="31" spans="1:6" ht="12.75">
      <c r="A31" s="10" t="str">
        <f>'GENERIERUNG MEISTERSCHAFTEN'!$C$28</f>
        <v>Verwirren</v>
      </c>
      <c r="B31" s="10"/>
      <c r="C31" s="11"/>
      <c r="D31" s="11">
        <f t="shared" si="0"/>
        <v>0</v>
      </c>
      <c r="E31" s="11"/>
      <c r="F31" s="11">
        <f t="shared" si="1"/>
      </c>
    </row>
    <row r="32" spans="1:6" ht="12.75">
      <c r="A32" s="10" t="str">
        <f>'GENERIERUNG MEISTERSCHAFTEN'!$C$29</f>
        <v>Feuerresistenz</v>
      </c>
      <c r="B32" s="10"/>
      <c r="C32" s="11"/>
      <c r="D32" s="11">
        <f t="shared" si="0"/>
        <v>0</v>
      </c>
      <c r="E32" s="11"/>
      <c r="F32" s="11">
        <f t="shared" si="1"/>
      </c>
    </row>
    <row r="33" spans="1:6" ht="12.75">
      <c r="A33" s="10" t="str">
        <f>'GENERIERUNG MEISTERSCHAFTEN'!$C$30</f>
        <v>Flammenherz</v>
      </c>
      <c r="B33" s="10"/>
      <c r="C33" s="11"/>
      <c r="D33" s="11">
        <f t="shared" si="0"/>
        <v>0</v>
      </c>
      <c r="E33" s="11"/>
      <c r="F33" s="11">
        <f t="shared" si="1"/>
      </c>
    </row>
    <row r="34" spans="1:6" ht="12.75">
      <c r="A34" s="10" t="str">
        <f>'GENERIERUNG MEISTERSCHAFTEN'!$C$31</f>
        <v>Fernzauberer</v>
      </c>
      <c r="B34" s="10"/>
      <c r="C34" s="11"/>
      <c r="D34" s="11">
        <f t="shared" si="0"/>
        <v>0</v>
      </c>
      <c r="E34" s="11"/>
      <c r="F34" s="11">
        <f t="shared" si="1"/>
      </c>
    </row>
    <row r="35" spans="1:6" ht="12.75">
      <c r="A35" s="10" t="str">
        <f>'GENERIERUNG MEISTERSCHAFTEN'!$C$32</f>
        <v>Jäger</v>
      </c>
      <c r="B35" s="10" t="str">
        <f>NAT</f>
        <v>Naturkunde</v>
      </c>
      <c r="C35" s="11"/>
      <c r="D35" s="11">
        <f t="shared" si="0"/>
        <v>0</v>
      </c>
      <c r="E35" s="11">
        <v>3</v>
      </c>
      <c r="F35" s="11">
        <f t="shared" si="1"/>
      </c>
    </row>
    <row r="36" spans="1:6" ht="12.75">
      <c r="A36" s="10" t="str">
        <f>'GENERIERUNG MEISTERSCHAFTEN'!$C$33</f>
        <v>Feilscher</v>
      </c>
      <c r="B36" s="10"/>
      <c r="C36" s="11"/>
      <c r="D36" s="11">
        <f t="shared" si="0"/>
        <v>0</v>
      </c>
      <c r="E36" s="11"/>
      <c r="F36" s="11">
        <f t="shared" si="1"/>
      </c>
    </row>
    <row r="37" spans="1:6" ht="12.75">
      <c r="A37" s="10" t="str">
        <f>'GENERIERUNG MEISTERSCHAFTEN'!$C$34</f>
        <v>Der richtige Ton</v>
      </c>
      <c r="B37" s="10" t="str">
        <f>RED</f>
        <v>Redekunst</v>
      </c>
      <c r="C37" s="11"/>
      <c r="D37" s="11">
        <f t="shared" si="0"/>
        <v>0</v>
      </c>
      <c r="E37" s="11">
        <v>2</v>
      </c>
      <c r="F37" s="11">
        <f t="shared" si="1"/>
      </c>
    </row>
    <row r="38" spans="1:6" ht="12.75">
      <c r="A38" s="10" t="str">
        <f>'GENERIERUNG MEISTERSCHAFTEN'!$C$35</f>
        <v>Gerüchte</v>
      </c>
      <c r="B38" s="10" t="str">
        <f>STR</f>
        <v>Straßenkunde</v>
      </c>
      <c r="C38" s="11"/>
      <c r="D38" s="11">
        <f t="shared" si="0"/>
        <v>0</v>
      </c>
      <c r="E38" s="11">
        <v>3</v>
      </c>
      <c r="F38" s="11">
        <f t="shared" si="1"/>
      </c>
    </row>
    <row r="39" spans="1:6" ht="12.75">
      <c r="A39" s="10" t="str">
        <f>'GENERIERUNG MEISTERSCHAFTEN'!$C$36</f>
        <v>Tier einschätzen</v>
      </c>
      <c r="B39" s="10"/>
      <c r="C39" s="11"/>
      <c r="D39" s="11">
        <f t="shared" si="0"/>
        <v>0</v>
      </c>
      <c r="E39" s="11"/>
      <c r="F39" s="11">
        <f t="shared" si="1"/>
      </c>
    </row>
    <row r="40" spans="1:6" ht="12.75">
      <c r="A40" s="10" t="str">
        <f>'GENERIERUNG MEISTERSCHAFTEN'!$C$37</f>
        <v>Geländekunde</v>
      </c>
      <c r="B40" s="10"/>
      <c r="C40" s="11"/>
      <c r="D40" s="11">
        <f t="shared" si="0"/>
        <v>0</v>
      </c>
      <c r="E40" s="11"/>
      <c r="F40" s="11">
        <f t="shared" si="1"/>
      </c>
    </row>
    <row r="41" spans="1:6" ht="12.75">
      <c r="A41" s="10" t="str">
        <f>'GENERIERUNG MEISTERSCHAFTEN'!$C$38</f>
        <v>Wildnisläufer</v>
      </c>
      <c r="B41" s="10"/>
      <c r="C41" s="11"/>
      <c r="D41" s="11">
        <f t="shared" si="0"/>
        <v>0</v>
      </c>
      <c r="E41" s="11"/>
      <c r="F41" s="11">
        <f t="shared" si="1"/>
      </c>
    </row>
    <row r="42" spans="1:6" ht="12.75">
      <c r="A42" s="10" t="str">
        <f>'GENERIERUNG MEISTERSCHAFTEN'!$C$39</f>
        <v>Unterschwellige Warnung</v>
      </c>
      <c r="B42" s="10"/>
      <c r="C42" s="11"/>
      <c r="D42" s="11">
        <f t="shared" si="0"/>
        <v>0</v>
      </c>
      <c r="E42" s="11"/>
      <c r="F42" s="11">
        <f t="shared" si="1"/>
      </c>
    </row>
    <row r="43" spans="1:6" ht="12.75">
      <c r="A43" s="10" t="str">
        <f>'GENERIERUNG MEISTERSCHAFTEN'!$C$40</f>
        <v>Veränderungen wahrnehmen</v>
      </c>
      <c r="B43" s="10"/>
      <c r="C43" s="11"/>
      <c r="D43" s="11">
        <f t="shared" si="0"/>
        <v>0</v>
      </c>
      <c r="E43" s="11"/>
      <c r="F43" s="11">
        <f t="shared" si="1"/>
      </c>
    </row>
    <row r="44" spans="1:6" ht="12.75">
      <c r="A44" s="10" t="str">
        <f>'GENERIERUNG MEISTERSCHAFTEN'!$C$41</f>
        <v>Ausdauernd</v>
      </c>
      <c r="B44" s="10"/>
      <c r="C44" s="11"/>
      <c r="D44" s="11">
        <f t="shared" si="0"/>
        <v>0</v>
      </c>
      <c r="E44" s="11"/>
      <c r="F44" s="11">
        <f t="shared" si="1"/>
      </c>
    </row>
    <row r="45" spans="1:6" ht="12.75">
      <c r="A45" s="10" t="str">
        <f>'GENERIERUNG MEISTERSCHAFTEN'!$C$42</f>
        <v>Rüstungsträger</v>
      </c>
      <c r="B45" s="10"/>
      <c r="C45" s="11"/>
      <c r="D45" s="11">
        <f t="shared" si="0"/>
        <v>0</v>
      </c>
      <c r="E45" s="11"/>
      <c r="F45" s="11">
        <f t="shared" si="1"/>
      </c>
    </row>
    <row r="46" spans="1:6" ht="12.75">
      <c r="A46" s="10" t="str">
        <f>'GENERIERUNG MEISTERSCHAFTEN'!$C$43</f>
        <v>Trinkfest</v>
      </c>
      <c r="B46" s="10" t="str">
        <f>ZÄH</f>
        <v>Zähigkeit</v>
      </c>
      <c r="C46" s="11"/>
      <c r="D46" s="11">
        <f t="shared" si="0"/>
        <v>0</v>
      </c>
      <c r="E46" s="11">
        <v>1</v>
      </c>
      <c r="F46" s="11">
        <f t="shared" si="1"/>
      </c>
    </row>
  </sheetData>
  <sheetProtection sheet="1"/>
  <printOptions/>
  <pageMargins left="0.3937007874015748" right="0.3937007874015748" top="0.5905511811023623" bottom="0.5905511811023623" header="0.3937007874015748" footer="0.3937007874015748"/>
  <pageSetup fitToHeight="1" fitToWidth="1" horizontalDpi="300" verticalDpi="300" orientation="portrait" paperSize="9" scale="90" r:id="rId1"/>
  <headerFooter alignWithMargins="0">
    <oddHeader>&amp;R&amp;"Verdana,Standard"&amp;8Splittermond - Charakter-Generator (Beta) - v.1.1</oddHeader>
    <oddFooter>&amp;L&amp;"Verdana,Standard"&amp;8Marcus Renner - 18.06.2013</oddFooter>
  </headerFooter>
</worksheet>
</file>

<file path=xl/worksheets/sheet2.xml><?xml version="1.0" encoding="utf-8"?>
<worksheet xmlns="http://schemas.openxmlformats.org/spreadsheetml/2006/main" xmlns:r="http://schemas.openxmlformats.org/officeDocument/2006/relationships">
  <sheetPr>
    <tabColor indexed="44"/>
    <pageSetUpPr fitToPage="1"/>
  </sheetPr>
  <dimension ref="A1:AR64"/>
  <sheetViews>
    <sheetView showGridLines="0" zoomScale="115" zoomScaleNormal="115" zoomScaleSheetLayoutView="100" zoomScalePageLayoutView="0" workbookViewId="0" topLeftCell="A1">
      <pane ySplit="3" topLeftCell="BM4" activePane="bottomLeft" state="frozen"/>
      <selection pane="topLeft" activeCell="A4" sqref="A4"/>
      <selection pane="bottomLeft" activeCell="A4" sqref="A4"/>
    </sheetView>
  </sheetViews>
  <sheetFormatPr defaultColWidth="11.421875" defaultRowHeight="12.75"/>
  <cols>
    <col min="1" max="1" width="3.140625" style="130" customWidth="1"/>
    <col min="2" max="80" width="3.140625" style="4" customWidth="1"/>
    <col min="81" max="16384" width="11.421875" style="4" customWidth="1"/>
  </cols>
  <sheetData>
    <row r="1" spans="1:44" s="124" customFormat="1" ht="9" thickTop="1">
      <c r="A1" s="284"/>
      <c r="B1" s="285"/>
      <c r="C1" s="285"/>
      <c r="D1" s="285"/>
      <c r="E1" s="285"/>
      <c r="F1" s="285"/>
      <c r="G1" s="285"/>
      <c r="H1" s="285"/>
      <c r="I1" s="285"/>
      <c r="J1" s="285"/>
      <c r="K1" s="285"/>
      <c r="L1" s="285"/>
      <c r="M1" s="285"/>
      <c r="N1" s="285"/>
      <c r="O1" s="285"/>
      <c r="P1" s="285"/>
      <c r="Q1" s="285"/>
      <c r="R1" s="285"/>
      <c r="S1" s="285"/>
      <c r="T1" s="285"/>
      <c r="U1" s="285"/>
      <c r="V1" s="285"/>
      <c r="W1" s="285"/>
      <c r="X1" s="285"/>
      <c r="Y1" s="285"/>
      <c r="Z1" s="285"/>
      <c r="AA1" s="285"/>
      <c r="AB1" s="285"/>
      <c r="AC1" s="285"/>
      <c r="AD1" s="285"/>
      <c r="AE1" s="285"/>
      <c r="AF1" s="285"/>
      <c r="AG1" s="285"/>
      <c r="AH1" s="285"/>
      <c r="AI1" s="286"/>
      <c r="AJ1" s="123"/>
      <c r="AK1" s="123"/>
      <c r="AL1" s="123"/>
      <c r="AM1" s="123"/>
      <c r="AN1" s="123"/>
      <c r="AO1" s="123"/>
      <c r="AP1" s="123"/>
      <c r="AQ1" s="123"/>
      <c r="AR1" s="123"/>
    </row>
    <row r="2" spans="1:44" ht="18">
      <c r="A2" s="264"/>
      <c r="B2" s="119" t="s">
        <v>192</v>
      </c>
      <c r="C2" s="217"/>
      <c r="D2" s="218"/>
      <c r="E2" s="218"/>
      <c r="F2" s="218">
        <f>IF(CHARAKTERNAME="","",CHARAKTERNAME)</f>
      </c>
      <c r="G2" s="217"/>
      <c r="H2" s="217"/>
      <c r="I2" s="217"/>
      <c r="J2" s="217"/>
      <c r="K2" s="217"/>
      <c r="L2" s="217"/>
      <c r="M2" s="217"/>
      <c r="N2" s="217"/>
      <c r="O2" s="217"/>
      <c r="P2" s="217"/>
      <c r="Q2" s="217"/>
      <c r="R2" s="119" t="s">
        <v>193</v>
      </c>
      <c r="S2" s="217"/>
      <c r="T2" s="218"/>
      <c r="U2" s="218"/>
      <c r="V2" s="218"/>
      <c r="W2" s="218">
        <f>IF(KULTUR="","",KULTUR)</f>
      </c>
      <c r="X2" s="217"/>
      <c r="Y2" s="217"/>
      <c r="Z2" s="217"/>
      <c r="AA2" s="217"/>
      <c r="AB2" s="217"/>
      <c r="AC2" s="217"/>
      <c r="AD2" s="217"/>
      <c r="AE2" s="217"/>
      <c r="AF2" s="217"/>
      <c r="AG2" s="217"/>
      <c r="AH2" s="217"/>
      <c r="AI2" s="280"/>
      <c r="AJ2" s="122"/>
      <c r="AK2" s="85"/>
      <c r="AL2" s="85"/>
      <c r="AM2" s="85"/>
      <c r="AN2" s="85"/>
      <c r="AO2" s="85"/>
      <c r="AP2" s="85"/>
      <c r="AQ2" s="122"/>
      <c r="AR2" s="122"/>
    </row>
    <row r="3" spans="1:44" ht="18">
      <c r="A3" s="264"/>
      <c r="B3" s="119" t="s">
        <v>185</v>
      </c>
      <c r="C3" s="217"/>
      <c r="D3" s="218"/>
      <c r="E3" s="218"/>
      <c r="F3" s="218">
        <f>IF(RASSE="","",RASSE)</f>
      </c>
      <c r="G3" s="217"/>
      <c r="H3" s="217"/>
      <c r="I3" s="217"/>
      <c r="J3" s="217"/>
      <c r="K3" s="217"/>
      <c r="L3" s="217"/>
      <c r="M3" s="217"/>
      <c r="N3" s="217"/>
      <c r="O3" s="217"/>
      <c r="P3" s="217"/>
      <c r="Q3" s="217"/>
      <c r="R3" s="119" t="s">
        <v>194</v>
      </c>
      <c r="S3" s="217"/>
      <c r="T3" s="218"/>
      <c r="U3" s="218"/>
      <c r="V3" s="218"/>
      <c r="W3" s="218">
        <f>IF(AUSBILDUNG="","",IF(GESCHLECHT=0,AUSBILDUNG,VLOOKUP(AUSBILDUNG,Daten!$A$38:$B$44,VLOOKUP(GESCHLECHT,Daten!$D$12:$E$13,2))))</f>
      </c>
      <c r="X3" s="217"/>
      <c r="Y3" s="217"/>
      <c r="Z3" s="217"/>
      <c r="AA3" s="217"/>
      <c r="AB3" s="217"/>
      <c r="AC3" s="217"/>
      <c r="AD3" s="217"/>
      <c r="AE3" s="217"/>
      <c r="AF3" s="217"/>
      <c r="AG3" s="217"/>
      <c r="AH3" s="217"/>
      <c r="AI3" s="280"/>
      <c r="AJ3" s="122"/>
      <c r="AK3" s="85"/>
      <c r="AL3" s="85"/>
      <c r="AM3" s="85"/>
      <c r="AN3" s="85"/>
      <c r="AO3" s="85"/>
      <c r="AP3" s="85"/>
      <c r="AQ3" s="122"/>
      <c r="AR3" s="122"/>
    </row>
    <row r="4" spans="1:44" s="124" customFormat="1" ht="8.25">
      <c r="A4" s="266"/>
      <c r="B4" s="291"/>
      <c r="C4" s="292"/>
      <c r="D4" s="292"/>
      <c r="E4" s="292"/>
      <c r="F4" s="292"/>
      <c r="G4" s="292"/>
      <c r="H4" s="292"/>
      <c r="I4" s="292"/>
      <c r="J4" s="292"/>
      <c r="K4" s="292"/>
      <c r="L4" s="292"/>
      <c r="M4" s="292"/>
      <c r="N4" s="292"/>
      <c r="O4" s="292"/>
      <c r="P4" s="292"/>
      <c r="Q4" s="292"/>
      <c r="R4" s="291"/>
      <c r="S4" s="292"/>
      <c r="T4" s="292"/>
      <c r="U4" s="292"/>
      <c r="V4" s="292"/>
      <c r="W4" s="292"/>
      <c r="X4" s="292"/>
      <c r="Y4" s="292"/>
      <c r="Z4" s="292"/>
      <c r="AA4" s="292"/>
      <c r="AB4" s="292"/>
      <c r="AC4" s="292"/>
      <c r="AD4" s="292"/>
      <c r="AE4" s="292"/>
      <c r="AF4" s="292"/>
      <c r="AG4" s="292"/>
      <c r="AH4" s="292"/>
      <c r="AI4" s="288"/>
      <c r="AJ4" s="123"/>
      <c r="AK4" s="291"/>
      <c r="AL4" s="291"/>
      <c r="AM4" s="291"/>
      <c r="AN4" s="291"/>
      <c r="AO4" s="291"/>
      <c r="AP4" s="291"/>
      <c r="AQ4" s="123"/>
      <c r="AR4" s="123"/>
    </row>
    <row r="5" spans="1:36" ht="15">
      <c r="A5" s="264"/>
      <c r="C5" s="84"/>
      <c r="D5" s="84"/>
      <c r="E5" s="120" t="s">
        <v>515</v>
      </c>
      <c r="F5" s="84">
        <f>IF(GESCHLECHT=0,"",GESCHLECHT)</f>
      </c>
      <c r="I5" s="135"/>
      <c r="J5" s="135"/>
      <c r="K5" s="120" t="s">
        <v>514</v>
      </c>
      <c r="L5" s="84">
        <f>GRÖßE</f>
        <v>5</v>
      </c>
      <c r="P5" s="84"/>
      <c r="Q5" s="135"/>
      <c r="R5" s="120" t="s">
        <v>513</v>
      </c>
      <c r="S5" s="302">
        <f>GESCHWINDIGKEIT</f>
        <v>7</v>
      </c>
      <c r="T5" s="302"/>
      <c r="X5" s="135"/>
      <c r="Z5" s="120" t="s">
        <v>512</v>
      </c>
      <c r="AA5" s="135">
        <f>IF(SPLITTERFÄHIGKEIT="","",SPLITTERFÄHIGKEIT)</f>
      </c>
      <c r="AB5" s="135"/>
      <c r="AC5" s="84"/>
      <c r="AD5" s="84"/>
      <c r="AE5" s="84"/>
      <c r="AF5" s="84"/>
      <c r="AG5" s="84"/>
      <c r="AH5" s="84"/>
      <c r="AI5" s="280"/>
      <c r="AJ5" s="122"/>
    </row>
    <row r="6" spans="1:44" s="124" customFormat="1" ht="9" thickBot="1">
      <c r="A6" s="281"/>
      <c r="B6" s="282"/>
      <c r="C6" s="282"/>
      <c r="D6" s="282"/>
      <c r="E6" s="282"/>
      <c r="F6" s="282"/>
      <c r="G6" s="282"/>
      <c r="H6" s="282"/>
      <c r="I6" s="282"/>
      <c r="J6" s="282"/>
      <c r="K6" s="282"/>
      <c r="L6" s="282"/>
      <c r="M6" s="282"/>
      <c r="N6" s="282"/>
      <c r="O6" s="282"/>
      <c r="P6" s="282"/>
      <c r="Q6" s="282"/>
      <c r="R6" s="282"/>
      <c r="S6" s="282"/>
      <c r="T6" s="282"/>
      <c r="U6" s="282"/>
      <c r="V6" s="282"/>
      <c r="W6" s="282"/>
      <c r="X6" s="282"/>
      <c r="Y6" s="282"/>
      <c r="Z6" s="282"/>
      <c r="AA6" s="282"/>
      <c r="AB6" s="282"/>
      <c r="AC6" s="282"/>
      <c r="AD6" s="282"/>
      <c r="AE6" s="282"/>
      <c r="AF6" s="282"/>
      <c r="AG6" s="282"/>
      <c r="AH6" s="282"/>
      <c r="AI6" s="283"/>
      <c r="AJ6" s="123"/>
      <c r="AK6" s="123"/>
      <c r="AL6" s="123"/>
      <c r="AM6" s="123"/>
      <c r="AN6" s="123"/>
      <c r="AO6" s="123"/>
      <c r="AP6" s="123"/>
      <c r="AQ6" s="123"/>
      <c r="AR6" s="123"/>
    </row>
    <row r="7" spans="1:44" ht="14.25" thickBot="1" thickTop="1">
      <c r="A7" s="122"/>
      <c r="B7" s="122"/>
      <c r="C7" s="122"/>
      <c r="D7" s="122"/>
      <c r="E7" s="122"/>
      <c r="F7" s="122"/>
      <c r="G7" s="122"/>
      <c r="H7" s="122"/>
      <c r="I7" s="122"/>
      <c r="J7" s="122"/>
      <c r="K7" s="122"/>
      <c r="L7" s="296"/>
      <c r="M7" s="84"/>
      <c r="N7" s="84"/>
      <c r="O7" s="84"/>
      <c r="P7" s="84"/>
      <c r="Q7" s="84"/>
      <c r="R7" s="84"/>
      <c r="S7" s="84"/>
      <c r="T7" s="84"/>
      <c r="U7" s="84"/>
      <c r="V7" s="84"/>
      <c r="W7" s="84"/>
      <c r="X7" s="84"/>
      <c r="Y7" s="84"/>
      <c r="Z7" s="84"/>
      <c r="AA7" s="84"/>
      <c r="AB7" s="84"/>
      <c r="AC7" s="84"/>
      <c r="AD7" s="84"/>
      <c r="AE7" s="84"/>
      <c r="AF7" s="84"/>
      <c r="AG7" s="84"/>
      <c r="AH7" s="122"/>
      <c r="AI7" s="122"/>
      <c r="AJ7" s="122"/>
      <c r="AK7" s="122"/>
      <c r="AL7" s="122"/>
      <c r="AM7" s="122"/>
      <c r="AN7" s="122"/>
      <c r="AO7" s="122"/>
      <c r="AP7" s="122"/>
      <c r="AQ7" s="122"/>
      <c r="AR7" s="122"/>
    </row>
    <row r="8" spans="1:44" ht="13.5" thickTop="1">
      <c r="A8" s="122"/>
      <c r="B8" s="122"/>
      <c r="C8" s="122"/>
      <c r="D8" s="122"/>
      <c r="E8" s="122"/>
      <c r="F8" s="122"/>
      <c r="G8" s="122"/>
      <c r="H8" s="122"/>
      <c r="I8" s="122"/>
      <c r="J8" s="122"/>
      <c r="K8" s="122"/>
      <c r="L8"/>
      <c r="M8" s="277"/>
      <c r="N8" s="278"/>
      <c r="O8" s="278"/>
      <c r="P8" s="278"/>
      <c r="Q8" s="278"/>
      <c r="R8" s="278"/>
      <c r="S8" s="278"/>
      <c r="T8" s="278"/>
      <c r="U8" s="278"/>
      <c r="V8" s="278"/>
      <c r="W8" s="278"/>
      <c r="X8" s="278"/>
      <c r="Y8" s="278"/>
      <c r="Z8" s="278"/>
      <c r="AA8" s="278"/>
      <c r="AB8" s="278"/>
      <c r="AC8" s="278"/>
      <c r="AD8" s="278"/>
      <c r="AE8" s="278"/>
      <c r="AF8" s="278"/>
      <c r="AG8" s="278"/>
      <c r="AH8" s="278"/>
      <c r="AI8" s="279"/>
      <c r="AJ8" s="122"/>
      <c r="AK8" s="122"/>
      <c r="AL8" s="122"/>
      <c r="AM8" s="122"/>
      <c r="AN8" s="122"/>
      <c r="AO8" s="122"/>
      <c r="AP8" s="122"/>
      <c r="AQ8" s="122"/>
      <c r="AR8" s="122"/>
    </row>
    <row r="9" spans="1:44" ht="15.75" thickBot="1">
      <c r="A9" s="223"/>
      <c r="B9" s="224"/>
      <c r="C9" s="224"/>
      <c r="D9" s="224"/>
      <c r="E9" s="224"/>
      <c r="F9" s="224"/>
      <c r="G9" s="224"/>
      <c r="H9" s="224"/>
      <c r="I9" s="224"/>
      <c r="J9" s="224"/>
      <c r="K9" s="224"/>
      <c r="L9"/>
      <c r="M9" s="267"/>
      <c r="N9" s="119" t="str">
        <f>CONCATENATE(LEB," (",LEBENSPUNKTE,")")</f>
        <v>Lebenspunkte (6)</v>
      </c>
      <c r="O9" s="84"/>
      <c r="P9" s="84"/>
      <c r="Q9" s="84"/>
      <c r="R9" s="84"/>
      <c r="S9" s="84"/>
      <c r="T9" s="84"/>
      <c r="U9" s="84"/>
      <c r="V9" s="84"/>
      <c r="W9" s="84"/>
      <c r="X9" s="84"/>
      <c r="Y9" s="84"/>
      <c r="Z9" s="84"/>
      <c r="AA9" s="84"/>
      <c r="AB9" s="84"/>
      <c r="AC9" s="84"/>
      <c r="AD9" s="84"/>
      <c r="AE9" s="84"/>
      <c r="AF9" s="84"/>
      <c r="AG9" s="84"/>
      <c r="AH9" s="84"/>
      <c r="AI9" s="280"/>
      <c r="AJ9" s="122"/>
      <c r="AK9" s="122"/>
      <c r="AL9" s="122"/>
      <c r="AM9" s="122"/>
      <c r="AN9" s="122"/>
      <c r="AO9" s="122"/>
      <c r="AP9" s="122"/>
      <c r="AQ9" s="122"/>
      <c r="AR9" s="122"/>
    </row>
    <row r="10" spans="1:44" ht="16.5" thickBot="1" thickTop="1">
      <c r="A10" s="223"/>
      <c r="B10" s="224"/>
      <c r="C10" s="224"/>
      <c r="D10" s="224"/>
      <c r="E10" s="224"/>
      <c r="F10" s="224"/>
      <c r="G10" s="224"/>
      <c r="H10" s="224"/>
      <c r="I10" s="224"/>
      <c r="J10" s="224"/>
      <c r="K10" s="224"/>
      <c r="L10" s="224"/>
      <c r="M10" s="267"/>
      <c r="N10" s="307" t="s">
        <v>174</v>
      </c>
      <c r="O10" s="307"/>
      <c r="P10" s="307"/>
      <c r="Q10" s="307"/>
      <c r="R10" s="307"/>
      <c r="S10" s="120">
        <f>VLOOKUP(Charakterbogen!N10,WUNDSTUFETABLEAU,2)</f>
        <v>0</v>
      </c>
      <c r="T10" s="77">
        <v>1</v>
      </c>
      <c r="U10" s="77">
        <v>2</v>
      </c>
      <c r="V10" s="77">
        <v>3</v>
      </c>
      <c r="W10" s="77">
        <v>4</v>
      </c>
      <c r="X10" s="77">
        <v>5</v>
      </c>
      <c r="Y10" s="77">
        <v>6</v>
      </c>
      <c r="Z10" s="77">
        <v>7</v>
      </c>
      <c r="AA10" s="77">
        <v>8</v>
      </c>
      <c r="AB10" s="77">
        <v>9</v>
      </c>
      <c r="AC10" s="77">
        <v>10</v>
      </c>
      <c r="AD10" s="77">
        <v>11</v>
      </c>
      <c r="AE10" s="77">
        <v>12</v>
      </c>
      <c r="AF10" s="77">
        <v>13</v>
      </c>
      <c r="AG10" s="77">
        <v>14</v>
      </c>
      <c r="AH10" s="77">
        <v>15</v>
      </c>
      <c r="AI10" s="280"/>
      <c r="AJ10" s="122"/>
      <c r="AK10" s="122"/>
      <c r="AL10" s="122"/>
      <c r="AM10" s="122"/>
      <c r="AN10" s="122"/>
      <c r="AO10" s="122"/>
      <c r="AP10" s="122"/>
      <c r="AQ10" s="122"/>
      <c r="AR10" s="122"/>
    </row>
    <row r="11" spans="1:44" ht="16.5" thickBot="1" thickTop="1">
      <c r="A11" s="223"/>
      <c r="B11" s="224"/>
      <c r="C11" s="224"/>
      <c r="D11" s="224"/>
      <c r="E11" s="224"/>
      <c r="F11" s="224"/>
      <c r="G11" s="224"/>
      <c r="H11" s="224"/>
      <c r="I11" s="224"/>
      <c r="J11" s="224"/>
      <c r="K11" s="224"/>
      <c r="L11" s="224"/>
      <c r="M11" s="267"/>
      <c r="N11" s="307" t="s">
        <v>175</v>
      </c>
      <c r="O11" s="307"/>
      <c r="P11" s="307"/>
      <c r="Q11" s="307"/>
      <c r="R11" s="307"/>
      <c r="S11" s="120">
        <f>VLOOKUP(Charakterbogen!N11,WUNDSTUFETABLEAU,2)</f>
        <v>-2</v>
      </c>
      <c r="T11" s="77">
        <v>1</v>
      </c>
      <c r="U11" s="77">
        <v>2</v>
      </c>
      <c r="V11" s="77">
        <v>3</v>
      </c>
      <c r="W11" s="77">
        <v>4</v>
      </c>
      <c r="X11" s="77">
        <v>5</v>
      </c>
      <c r="Y11" s="77">
        <v>6</v>
      </c>
      <c r="Z11" s="77">
        <v>7</v>
      </c>
      <c r="AA11" s="77">
        <v>8</v>
      </c>
      <c r="AB11" s="77">
        <v>9</v>
      </c>
      <c r="AC11" s="77">
        <v>10</v>
      </c>
      <c r="AD11" s="77">
        <v>11</v>
      </c>
      <c r="AE11" s="77">
        <v>12</v>
      </c>
      <c r="AF11" s="77">
        <v>13</v>
      </c>
      <c r="AG11" s="77">
        <v>14</v>
      </c>
      <c r="AH11" s="77">
        <v>15</v>
      </c>
      <c r="AI11" s="280"/>
      <c r="AJ11" s="122"/>
      <c r="AK11" s="122"/>
      <c r="AL11" s="122"/>
      <c r="AM11" s="122"/>
      <c r="AN11" s="122"/>
      <c r="AO11" s="122"/>
      <c r="AP11" s="122"/>
      <c r="AQ11" s="122"/>
      <c r="AR11" s="122"/>
    </row>
    <row r="12" spans="1:44" ht="16.5" thickBot="1" thickTop="1">
      <c r="A12" s="223"/>
      <c r="B12" s="224"/>
      <c r="C12" s="224"/>
      <c r="D12" s="224"/>
      <c r="E12" s="224"/>
      <c r="F12" s="224"/>
      <c r="G12" s="224"/>
      <c r="H12" s="224"/>
      <c r="I12" s="224"/>
      <c r="J12" s="224"/>
      <c r="K12" s="224"/>
      <c r="L12" s="224"/>
      <c r="M12" s="267"/>
      <c r="N12" s="307" t="s">
        <v>176</v>
      </c>
      <c r="O12" s="307"/>
      <c r="P12" s="307"/>
      <c r="Q12" s="307"/>
      <c r="R12" s="307"/>
      <c r="S12" s="120">
        <f>VLOOKUP(Charakterbogen!N12,WUNDSTUFETABLEAU,2)</f>
        <v>-4</v>
      </c>
      <c r="T12" s="77">
        <v>1</v>
      </c>
      <c r="U12" s="77">
        <v>2</v>
      </c>
      <c r="V12" s="77">
        <v>3</v>
      </c>
      <c r="W12" s="77">
        <v>4</v>
      </c>
      <c r="X12" s="77">
        <v>5</v>
      </c>
      <c r="Y12" s="77">
        <v>6</v>
      </c>
      <c r="Z12" s="77">
        <v>7</v>
      </c>
      <c r="AA12" s="77">
        <v>8</v>
      </c>
      <c r="AB12" s="77">
        <v>9</v>
      </c>
      <c r="AC12" s="77">
        <v>10</v>
      </c>
      <c r="AD12" s="77">
        <v>11</v>
      </c>
      <c r="AE12" s="77">
        <v>12</v>
      </c>
      <c r="AF12" s="77">
        <v>13</v>
      </c>
      <c r="AG12" s="77">
        <v>14</v>
      </c>
      <c r="AH12" s="77">
        <v>15</v>
      </c>
      <c r="AI12" s="280"/>
      <c r="AJ12" s="122"/>
      <c r="AK12" s="122"/>
      <c r="AL12" s="122"/>
      <c r="AM12" s="122"/>
      <c r="AN12" s="122"/>
      <c r="AO12" s="122"/>
      <c r="AP12" s="122"/>
      <c r="AQ12" s="122"/>
      <c r="AR12" s="122"/>
    </row>
    <row r="13" spans="1:44" ht="16.5" thickBot="1" thickTop="1">
      <c r="A13" s="223"/>
      <c r="B13" s="224"/>
      <c r="C13" s="224"/>
      <c r="D13" s="224"/>
      <c r="E13" s="224"/>
      <c r="F13" s="224"/>
      <c r="G13" s="224"/>
      <c r="H13" s="224"/>
      <c r="I13" s="224"/>
      <c r="J13" s="224"/>
      <c r="K13" s="224"/>
      <c r="L13" s="224"/>
      <c r="M13" s="267"/>
      <c r="N13" s="307" t="s">
        <v>177</v>
      </c>
      <c r="O13" s="307"/>
      <c r="P13" s="307"/>
      <c r="Q13" s="307"/>
      <c r="R13" s="307"/>
      <c r="S13" s="120">
        <f>VLOOKUP(Charakterbogen!N13,WUNDSTUFETABLEAU,2)</f>
        <v>-6</v>
      </c>
      <c r="T13" s="77">
        <v>1</v>
      </c>
      <c r="U13" s="77">
        <v>2</v>
      </c>
      <c r="V13" s="77">
        <v>3</v>
      </c>
      <c r="W13" s="77">
        <v>4</v>
      </c>
      <c r="X13" s="77">
        <v>5</v>
      </c>
      <c r="Y13" s="77">
        <v>6</v>
      </c>
      <c r="Z13" s="77">
        <v>7</v>
      </c>
      <c r="AA13" s="77">
        <v>8</v>
      </c>
      <c r="AB13" s="77">
        <v>9</v>
      </c>
      <c r="AC13" s="77">
        <v>10</v>
      </c>
      <c r="AD13" s="77">
        <v>11</v>
      </c>
      <c r="AE13" s="77">
        <v>12</v>
      </c>
      <c r="AF13" s="77">
        <v>13</v>
      </c>
      <c r="AG13" s="77">
        <v>14</v>
      </c>
      <c r="AH13" s="77">
        <v>15</v>
      </c>
      <c r="AI13" s="280"/>
      <c r="AJ13" s="122"/>
      <c r="AK13" s="122"/>
      <c r="AL13" s="122"/>
      <c r="AM13" s="122"/>
      <c r="AN13" s="122"/>
      <c r="AO13" s="122"/>
      <c r="AP13" s="122"/>
      <c r="AQ13" s="122"/>
      <c r="AR13" s="122"/>
    </row>
    <row r="14" spans="1:44" ht="16.5" thickBot="1" thickTop="1">
      <c r="A14" s="223"/>
      <c r="B14" s="224"/>
      <c r="C14" s="224"/>
      <c r="D14" s="224"/>
      <c r="E14" s="224"/>
      <c r="F14" s="224"/>
      <c r="G14" s="224"/>
      <c r="H14" s="224"/>
      <c r="I14" s="224"/>
      <c r="J14" s="224"/>
      <c r="K14" s="224"/>
      <c r="L14" s="224"/>
      <c r="M14" s="267"/>
      <c r="N14" s="307" t="s">
        <v>178</v>
      </c>
      <c r="O14" s="307"/>
      <c r="P14" s="307"/>
      <c r="Q14" s="307"/>
      <c r="R14" s="307"/>
      <c r="S14" s="120">
        <f>VLOOKUP(Charakterbogen!N14,WUNDSTUFETABLEAU,2)</f>
        <v>-8</v>
      </c>
      <c r="T14" s="77">
        <v>1</v>
      </c>
      <c r="U14" s="77">
        <v>2</v>
      </c>
      <c r="V14" s="77">
        <v>3</v>
      </c>
      <c r="W14" s="77">
        <v>4</v>
      </c>
      <c r="X14" s="77">
        <v>5</v>
      </c>
      <c r="Y14" s="77">
        <v>6</v>
      </c>
      <c r="Z14" s="77">
        <v>7</v>
      </c>
      <c r="AA14" s="77">
        <v>8</v>
      </c>
      <c r="AB14" s="77">
        <v>9</v>
      </c>
      <c r="AC14" s="77">
        <v>10</v>
      </c>
      <c r="AD14" s="77">
        <v>11</v>
      </c>
      <c r="AE14" s="77">
        <v>12</v>
      </c>
      <c r="AF14" s="77">
        <v>13</v>
      </c>
      <c r="AG14" s="77">
        <v>14</v>
      </c>
      <c r="AH14" s="77">
        <v>15</v>
      </c>
      <c r="AI14" s="280"/>
      <c r="AJ14" s="122"/>
      <c r="AK14" s="122"/>
      <c r="AL14" s="122"/>
      <c r="AM14" s="122"/>
      <c r="AN14" s="122"/>
      <c r="AO14" s="122"/>
      <c r="AP14" s="122"/>
      <c r="AQ14" s="122"/>
      <c r="AR14" s="122"/>
    </row>
    <row r="15" spans="1:44" ht="16.5" thickBot="1" thickTop="1">
      <c r="A15" s="223"/>
      <c r="B15" s="224"/>
      <c r="C15" s="224"/>
      <c r="D15" s="224"/>
      <c r="E15" s="224"/>
      <c r="F15" s="224"/>
      <c r="G15" s="224"/>
      <c r="H15" s="224"/>
      <c r="I15" s="224"/>
      <c r="J15" s="224"/>
      <c r="K15" s="224"/>
      <c r="L15" s="224"/>
      <c r="M15" s="267"/>
      <c r="N15" s="119" t="str">
        <f>CONCATENATE(FOK," (",FOKUS,")")</f>
        <v>Fokus (4)</v>
      </c>
      <c r="O15" s="84"/>
      <c r="P15" s="84"/>
      <c r="Q15" s="84"/>
      <c r="R15" s="84"/>
      <c r="S15" s="84"/>
      <c r="T15" s="84"/>
      <c r="U15" s="84"/>
      <c r="V15" s="84"/>
      <c r="W15" s="84"/>
      <c r="X15" s="84"/>
      <c r="Y15" s="84"/>
      <c r="Z15" s="84"/>
      <c r="AA15" s="84"/>
      <c r="AB15" s="84"/>
      <c r="AC15" s="84"/>
      <c r="AD15" s="84"/>
      <c r="AE15" s="84"/>
      <c r="AF15" s="84"/>
      <c r="AG15" s="84"/>
      <c r="AH15" s="84"/>
      <c r="AI15" s="280"/>
      <c r="AJ15" s="122"/>
      <c r="AK15" s="122"/>
      <c r="AL15" s="122"/>
      <c r="AM15" s="122"/>
      <c r="AN15" s="122"/>
      <c r="AO15" s="122"/>
      <c r="AP15" s="122"/>
      <c r="AQ15" s="122"/>
      <c r="AR15" s="122"/>
    </row>
    <row r="16" spans="1:44" ht="16.5" thickBot="1" thickTop="1">
      <c r="A16" s="223"/>
      <c r="B16" s="224"/>
      <c r="C16" s="224"/>
      <c r="D16" s="224"/>
      <c r="E16" s="224"/>
      <c r="F16" s="224"/>
      <c r="G16" s="224"/>
      <c r="H16" s="224"/>
      <c r="I16" s="224"/>
      <c r="J16" s="224"/>
      <c r="K16" s="224"/>
      <c r="L16" s="224"/>
      <c r="M16" s="267"/>
      <c r="N16" s="77">
        <v>1</v>
      </c>
      <c r="O16" s="77">
        <v>2</v>
      </c>
      <c r="P16" s="77">
        <v>3</v>
      </c>
      <c r="Q16" s="77">
        <v>4</v>
      </c>
      <c r="R16" s="77">
        <v>5</v>
      </c>
      <c r="S16" s="77">
        <v>6</v>
      </c>
      <c r="T16" s="77">
        <v>7</v>
      </c>
      <c r="U16" s="77">
        <v>8</v>
      </c>
      <c r="V16" s="77">
        <v>9</v>
      </c>
      <c r="W16" s="77">
        <v>10</v>
      </c>
      <c r="X16" s="77">
        <v>11</v>
      </c>
      <c r="Y16" s="77">
        <v>12</v>
      </c>
      <c r="Z16" s="77">
        <v>13</v>
      </c>
      <c r="AA16" s="77">
        <v>14</v>
      </c>
      <c r="AB16" s="84"/>
      <c r="AC16" s="84"/>
      <c r="AD16" s="84"/>
      <c r="AE16" s="84"/>
      <c r="AF16" s="84"/>
      <c r="AG16" s="84"/>
      <c r="AH16" s="121" t="str">
        <f>CONCATENATE(SPL," (",SPLITTERPUNKTE,")")</f>
        <v>Splitterpunkte (3)</v>
      </c>
      <c r="AI16" s="280"/>
      <c r="AJ16" s="122"/>
      <c r="AK16" s="122"/>
      <c r="AL16" s="122"/>
      <c r="AM16" s="122"/>
      <c r="AN16" s="122"/>
      <c r="AO16" s="122"/>
      <c r="AP16" s="122"/>
      <c r="AQ16" s="122"/>
      <c r="AR16" s="122"/>
    </row>
    <row r="17" spans="1:44" ht="16.5" thickBot="1" thickTop="1">
      <c r="A17" s="223"/>
      <c r="B17" s="224"/>
      <c r="C17" s="224"/>
      <c r="D17" s="224"/>
      <c r="E17" s="224"/>
      <c r="F17" s="224"/>
      <c r="G17" s="224"/>
      <c r="H17" s="224"/>
      <c r="I17" s="224"/>
      <c r="J17" s="224"/>
      <c r="K17" s="224"/>
      <c r="L17" s="224"/>
      <c r="M17" s="267"/>
      <c r="N17" s="77">
        <v>15</v>
      </c>
      <c r="O17" s="77">
        <v>16</v>
      </c>
      <c r="P17" s="77">
        <v>17</v>
      </c>
      <c r="Q17" s="77">
        <v>18</v>
      </c>
      <c r="R17" s="77">
        <v>19</v>
      </c>
      <c r="S17" s="77">
        <v>20</v>
      </c>
      <c r="T17" s="77">
        <v>21</v>
      </c>
      <c r="U17" s="77">
        <v>22</v>
      </c>
      <c r="V17" s="77">
        <v>23</v>
      </c>
      <c r="W17" s="77">
        <v>24</v>
      </c>
      <c r="X17" s="77">
        <v>25</v>
      </c>
      <c r="Y17" s="77">
        <v>26</v>
      </c>
      <c r="Z17" s="77">
        <v>27</v>
      </c>
      <c r="AA17" s="77">
        <v>28</v>
      </c>
      <c r="AB17" s="84"/>
      <c r="AC17" s="77">
        <v>1</v>
      </c>
      <c r="AD17" s="77">
        <v>2</v>
      </c>
      <c r="AE17" s="77">
        <v>3</v>
      </c>
      <c r="AF17" s="77">
        <v>4</v>
      </c>
      <c r="AG17" s="77">
        <v>5</v>
      </c>
      <c r="AH17" s="77">
        <v>6</v>
      </c>
      <c r="AI17" s="280"/>
      <c r="AJ17" s="122"/>
      <c r="AK17" s="122"/>
      <c r="AL17" s="122"/>
      <c r="AM17" s="122"/>
      <c r="AN17" s="125"/>
      <c r="AO17" s="122"/>
      <c r="AP17" s="122"/>
      <c r="AQ17" s="122"/>
      <c r="AR17" s="122"/>
    </row>
    <row r="18" spans="1:44" ht="16.5" thickBot="1" thickTop="1">
      <c r="A18" s="223"/>
      <c r="B18" s="224"/>
      <c r="C18" s="224"/>
      <c r="D18" s="224"/>
      <c r="E18" s="224"/>
      <c r="F18" s="224"/>
      <c r="G18" s="224"/>
      <c r="H18" s="224"/>
      <c r="I18" s="224"/>
      <c r="J18" s="224"/>
      <c r="K18" s="224"/>
      <c r="L18"/>
      <c r="M18" s="267"/>
      <c r="N18" s="77">
        <v>29</v>
      </c>
      <c r="O18" s="77">
        <v>30</v>
      </c>
      <c r="P18" s="77">
        <v>31</v>
      </c>
      <c r="Q18" s="77">
        <v>32</v>
      </c>
      <c r="R18" s="77">
        <v>33</v>
      </c>
      <c r="S18" s="77">
        <v>34</v>
      </c>
      <c r="T18" s="77">
        <v>35</v>
      </c>
      <c r="U18" s="77">
        <v>36</v>
      </c>
      <c r="V18" s="77">
        <v>37</v>
      </c>
      <c r="W18" s="77">
        <v>38</v>
      </c>
      <c r="X18" s="77">
        <v>39</v>
      </c>
      <c r="Y18" s="77">
        <v>40</v>
      </c>
      <c r="Z18" s="77">
        <v>41</v>
      </c>
      <c r="AA18" s="77">
        <v>42</v>
      </c>
      <c r="AB18" s="84"/>
      <c r="AC18" s="77">
        <v>7</v>
      </c>
      <c r="AD18" s="77">
        <v>8</v>
      </c>
      <c r="AE18" s="77">
        <v>9</v>
      </c>
      <c r="AF18" s="77">
        <v>10</v>
      </c>
      <c r="AG18" s="77">
        <v>11</v>
      </c>
      <c r="AH18" s="77">
        <v>12</v>
      </c>
      <c r="AI18" s="280"/>
      <c r="AJ18" s="122"/>
      <c r="AK18" s="122"/>
      <c r="AL18" s="122"/>
      <c r="AM18" s="122"/>
      <c r="AN18" s="122"/>
      <c r="AO18" s="122"/>
      <c r="AP18" s="122"/>
      <c r="AQ18" s="122"/>
      <c r="AR18" s="122"/>
    </row>
    <row r="19" spans="1:44" ht="14.25" thickBot="1" thickTop="1">
      <c r="A19" s="122"/>
      <c r="B19" s="122"/>
      <c r="C19" s="122"/>
      <c r="D19" s="122"/>
      <c r="E19" s="122"/>
      <c r="F19" s="122"/>
      <c r="G19" s="122"/>
      <c r="H19" s="122"/>
      <c r="I19" s="122"/>
      <c r="J19" s="122"/>
      <c r="K19" s="122"/>
      <c r="L19" s="122"/>
      <c r="M19" s="281"/>
      <c r="N19" s="282"/>
      <c r="O19" s="282"/>
      <c r="P19" s="282"/>
      <c r="Q19" s="282"/>
      <c r="R19" s="282"/>
      <c r="S19" s="282"/>
      <c r="T19" s="282"/>
      <c r="U19" s="282"/>
      <c r="V19" s="282"/>
      <c r="W19" s="282"/>
      <c r="X19" s="282"/>
      <c r="Y19" s="282"/>
      <c r="Z19" s="282"/>
      <c r="AA19" s="282"/>
      <c r="AB19" s="282"/>
      <c r="AC19" s="282"/>
      <c r="AD19" s="282"/>
      <c r="AE19" s="282"/>
      <c r="AF19" s="282"/>
      <c r="AG19" s="282"/>
      <c r="AH19" s="282"/>
      <c r="AI19" s="283"/>
      <c r="AJ19" s="122"/>
      <c r="AK19" s="122"/>
      <c r="AL19" s="122"/>
      <c r="AM19" s="122"/>
      <c r="AN19" s="122"/>
      <c r="AO19" s="122"/>
      <c r="AP19" s="122"/>
      <c r="AQ19" s="122"/>
      <c r="AR19" s="122"/>
    </row>
    <row r="20" spans="1:44" ht="14.25" thickBot="1" thickTop="1">
      <c r="A20" s="84"/>
      <c r="B20" s="84"/>
      <c r="C20" s="84"/>
      <c r="D20" s="84"/>
      <c r="E20" s="84"/>
      <c r="F20" s="84"/>
      <c r="G20" s="84"/>
      <c r="H20" s="84"/>
      <c r="I20" s="84"/>
      <c r="J20" s="84"/>
      <c r="K20" s="84"/>
      <c r="L20" s="84"/>
      <c r="M20" s="84"/>
      <c r="N20" s="84"/>
      <c r="O20" s="84"/>
      <c r="P20" s="84"/>
      <c r="Q20" s="84"/>
      <c r="R20" s="84"/>
      <c r="S20" s="84"/>
      <c r="T20" s="84"/>
      <c r="U20" s="84"/>
      <c r="V20" s="84"/>
      <c r="W20" s="84"/>
      <c r="X20" s="84"/>
      <c r="Y20" s="84"/>
      <c r="Z20" s="84"/>
      <c r="AA20" s="84"/>
      <c r="AB20" s="84"/>
      <c r="AC20" s="84"/>
      <c r="AD20" s="84"/>
      <c r="AE20" s="84"/>
      <c r="AF20" s="84"/>
      <c r="AG20" s="84"/>
      <c r="AH20" s="122"/>
      <c r="AI20" s="122"/>
      <c r="AJ20" s="122"/>
      <c r="AK20" s="122"/>
      <c r="AL20" s="122"/>
      <c r="AM20" s="122"/>
      <c r="AN20" s="122"/>
      <c r="AO20" s="122"/>
      <c r="AP20" s="122"/>
      <c r="AQ20" s="122"/>
      <c r="AR20" s="122"/>
    </row>
    <row r="21" spans="1:44" s="124" customFormat="1" ht="9" thickTop="1">
      <c r="A21" s="284"/>
      <c r="B21" s="285"/>
      <c r="C21" s="285"/>
      <c r="D21" s="285"/>
      <c r="E21" s="285"/>
      <c r="F21" s="285"/>
      <c r="G21" s="285"/>
      <c r="H21" s="285"/>
      <c r="I21" s="285"/>
      <c r="J21" s="285"/>
      <c r="K21" s="285"/>
      <c r="L21" s="285"/>
      <c r="M21" s="285"/>
      <c r="N21" s="285"/>
      <c r="O21" s="285"/>
      <c r="P21" s="285"/>
      <c r="Q21" s="285"/>
      <c r="R21" s="285"/>
      <c r="S21" s="285"/>
      <c r="T21" s="285"/>
      <c r="U21" s="285"/>
      <c r="V21" s="285"/>
      <c r="W21" s="285"/>
      <c r="X21" s="285"/>
      <c r="Y21" s="285"/>
      <c r="Z21" s="285"/>
      <c r="AA21" s="285"/>
      <c r="AB21" s="285"/>
      <c r="AC21" s="285"/>
      <c r="AD21" s="285"/>
      <c r="AE21" s="285"/>
      <c r="AF21" s="285"/>
      <c r="AG21" s="285"/>
      <c r="AH21" s="285"/>
      <c r="AI21" s="286"/>
      <c r="AJ21" s="123"/>
      <c r="AK21" s="123"/>
      <c r="AL21" s="123"/>
      <c r="AM21" s="123"/>
      <c r="AN21" s="123"/>
      <c r="AO21" s="123"/>
      <c r="AP21" s="123"/>
      <c r="AQ21" s="123"/>
      <c r="AR21" s="123"/>
    </row>
    <row r="22" spans="1:41" ht="15.75" thickBot="1">
      <c r="A22" s="264"/>
      <c r="B22" s="118" t="str">
        <f>'GENERIERUNG WERTE'!B27</f>
        <v>Fertigkeiten Kampf</v>
      </c>
      <c r="C22" s="84"/>
      <c r="D22" s="84"/>
      <c r="E22" s="84"/>
      <c r="F22" s="84"/>
      <c r="G22" s="84"/>
      <c r="H22" s="84"/>
      <c r="I22" s="84"/>
      <c r="J22" s="84"/>
      <c r="K22" s="84"/>
      <c r="L22" s="84"/>
      <c r="M22" s="5"/>
      <c r="N22" s="118" t="str">
        <f>'GENERIERUNG WERTE'!B38</f>
        <v>Fertigkeiten mit Abwehr</v>
      </c>
      <c r="O22" s="84"/>
      <c r="P22" s="84"/>
      <c r="Q22" s="84"/>
      <c r="R22" s="84"/>
      <c r="S22" s="84"/>
      <c r="T22" s="84"/>
      <c r="U22" s="84"/>
      <c r="V22" s="84"/>
      <c r="W22" s="84"/>
      <c r="X22" s="5"/>
      <c r="Y22" s="118" t="str">
        <f>'GENERIERUNG WERTE'!Q27</f>
        <v>Fertigkeiten Allgemein</v>
      </c>
      <c r="Z22" s="84"/>
      <c r="AA22" s="84"/>
      <c r="AB22" s="84"/>
      <c r="AC22" s="84"/>
      <c r="AD22" s="84"/>
      <c r="AE22" s="84"/>
      <c r="AF22" s="84"/>
      <c r="AG22" s="84"/>
      <c r="AH22" s="84"/>
      <c r="AI22" s="280"/>
      <c r="AJ22" s="122"/>
      <c r="AK22" s="122"/>
      <c r="AL22" s="122"/>
      <c r="AM22" s="122"/>
      <c r="AN22" s="122"/>
      <c r="AO22" s="122"/>
    </row>
    <row r="23" spans="1:41" ht="16.5" thickBot="1" thickTop="1">
      <c r="A23" s="264"/>
      <c r="B23" s="141" t="str">
        <f>HAN</f>
        <v>Handgemenge</v>
      </c>
      <c r="C23" s="142"/>
      <c r="D23" s="142"/>
      <c r="E23" s="142"/>
      <c r="F23" s="142"/>
      <c r="G23" s="332"/>
      <c r="H23" s="333" t="s">
        <v>538</v>
      </c>
      <c r="I23" s="300" t="str">
        <f ca="1">IF(B23="","",CONCATENATE(INDIRECT(SUBSTITUTE(B23," ","")),IF(VLOOKUP(B23,EIGENSCHAFTTABLEAU,COLUMN(Eigenschaften!$N$3))&gt;0,SITUATIONSBONUSSYMBOL,"")))</f>
        <v>2</v>
      </c>
      <c r="J23" s="301"/>
      <c r="K23" s="305" t="str">
        <f ca="1">CONCATENATE(INDIRECT(CONCATENATE(SUBSTITUTE($B23," ",""),"ABWEHR")),RÜSTUNGSABWEHRSYMBOL)</f>
        <v>11*</v>
      </c>
      <c r="L23" s="306"/>
      <c r="M23" s="5"/>
      <c r="N23" s="141" t="str">
        <f>AKR</f>
        <v>Akrobatik</v>
      </c>
      <c r="O23" s="142"/>
      <c r="P23" s="142"/>
      <c r="Q23" s="142"/>
      <c r="R23" s="142"/>
      <c r="S23" s="143"/>
      <c r="T23" s="300" t="str">
        <f ca="1">IF(N23="","",CONCATENATE(INDIRECT(SUBSTITUTE(N23," ","")),IF(VLOOKUP(N23,EIGENSCHAFTTABLEAU,COLUMN(Eigenschaften!$N$3))&gt;0,SITUATIONSBONUSSYMBOL,"")))</f>
        <v>2</v>
      </c>
      <c r="U23" s="301"/>
      <c r="V23" s="305" t="str">
        <f ca="1">CONCATENATE(INDIRECT(CONCATENATE(SUBSTITUTE($N23," ",""),"ABWEHR")),RÜSTUNGSABWEHRSYMBOL)</f>
        <v>11*</v>
      </c>
      <c r="W23" s="306"/>
      <c r="X23" s="5"/>
      <c r="Y23" s="141" t="str">
        <f>ALC</f>
        <v>Alchemie</v>
      </c>
      <c r="Z23" s="142"/>
      <c r="AA23" s="142"/>
      <c r="AB23" s="142"/>
      <c r="AC23" s="142"/>
      <c r="AD23" s="142"/>
      <c r="AE23" s="142"/>
      <c r="AF23" s="143"/>
      <c r="AG23" s="300" t="str">
        <f ca="1">IF(Y23="","",CONCATENATE(INDIRECT(SUBSTITUTE(Y23," ","")),IF(VLOOKUP(Y23,EIGENSCHAFTTABLEAU,COLUMN(Eigenschaften!$N$3))&gt;0,SITUATIONSBONUSSYMBOL,"")))</f>
        <v>2</v>
      </c>
      <c r="AH23" s="301"/>
      <c r="AI23" s="280"/>
      <c r="AJ23" s="122"/>
      <c r="AK23" s="122"/>
      <c r="AL23" s="122"/>
      <c r="AM23" s="122"/>
      <c r="AN23" s="122"/>
      <c r="AO23" s="122"/>
    </row>
    <row r="24" spans="1:41" ht="16.5" thickBot="1" thickTop="1">
      <c r="A24" s="264"/>
      <c r="B24" s="141" t="str">
        <f>HIE</f>
        <v>Hiebwaffen</v>
      </c>
      <c r="C24" s="142"/>
      <c r="D24" s="142"/>
      <c r="E24" s="142"/>
      <c r="F24" s="142"/>
      <c r="G24" s="332"/>
      <c r="H24" s="333" t="s">
        <v>539</v>
      </c>
      <c r="I24" s="300" t="str">
        <f ca="1">IF(B24="","",CONCATENATE(INDIRECT(SUBSTITUTE(B24," ","")),IF(VLOOKUP(B24,EIGENSCHAFTTABLEAU,COLUMN(Eigenschaften!$N$3))&gt;0,SITUATIONSBONUSSYMBOL,"")))</f>
        <v>2</v>
      </c>
      <c r="J24" s="301"/>
      <c r="K24" s="305" t="str">
        <f ca="1">CONCATENATE(INDIRECT(CONCATENATE(SUBSTITUTE($B24," ",""),"ABWEHR")),RÜSTUNGSABWEHRSYMBOL)</f>
        <v>11*</v>
      </c>
      <c r="L24" s="306"/>
      <c r="M24" s="5"/>
      <c r="N24" s="141" t="str">
        <f>ENT</f>
        <v>Entschlossenheit</v>
      </c>
      <c r="O24" s="142"/>
      <c r="P24" s="142"/>
      <c r="Q24" s="142"/>
      <c r="R24" s="142"/>
      <c r="S24" s="143"/>
      <c r="T24" s="300" t="str">
        <f ca="1">IF(N24="","",CONCATENATE(INDIRECT(SUBSTITUTE(N24," ","")),IF(VLOOKUP(N24,EIGENSCHAFTTABLEAU,COLUMN(Eigenschaften!$N$3))&gt;0,SITUATIONSBONUSSYMBOL,"")))</f>
        <v>2</v>
      </c>
      <c r="U24" s="301"/>
      <c r="V24" s="305" t="str">
        <f ca="1">CONCATENATE(INDIRECT(CONCATENATE(SUBSTITUTE($N24," ",""),"ABWEHR")),RÜSTUNGSABWEHRSYMBOL)</f>
        <v>11*</v>
      </c>
      <c r="W24" s="306"/>
      <c r="X24" s="5"/>
      <c r="Y24" s="141" t="str">
        <f>ANF</f>
        <v>Anführen</v>
      </c>
      <c r="Z24" s="142"/>
      <c r="AA24" s="142"/>
      <c r="AB24" s="142"/>
      <c r="AC24" s="142"/>
      <c r="AD24" s="142"/>
      <c r="AE24" s="142"/>
      <c r="AF24" s="143"/>
      <c r="AG24" s="300" t="str">
        <f ca="1">IF(Y24="","",CONCATENATE(INDIRECT(SUBSTITUTE(Y24," ","")),IF(VLOOKUP(Y24,EIGENSCHAFTTABLEAU,COLUMN(Eigenschaften!$N$3))&gt;0,SITUATIONSBONUSSYMBOL,"")))</f>
        <v>2</v>
      </c>
      <c r="AH24" s="301"/>
      <c r="AI24" s="280"/>
      <c r="AJ24" s="122"/>
      <c r="AK24" s="122"/>
      <c r="AL24" s="122"/>
      <c r="AM24" s="122"/>
      <c r="AN24" s="122"/>
      <c r="AO24" s="122"/>
    </row>
    <row r="25" spans="1:41" ht="16.5" thickBot="1" thickTop="1">
      <c r="A25" s="264"/>
      <c r="B25" s="141" t="str">
        <f>KET</f>
        <v>Kettenwaffen</v>
      </c>
      <c r="C25" s="142"/>
      <c r="D25" s="142"/>
      <c r="E25" s="142"/>
      <c r="F25" s="142"/>
      <c r="G25" s="332"/>
      <c r="H25" s="333" t="s">
        <v>540</v>
      </c>
      <c r="I25" s="300" t="str">
        <f ca="1">IF(B25="","",CONCATENATE(INDIRECT(SUBSTITUTE(B25," ","")),IF(VLOOKUP(B25,EIGENSCHAFTTABLEAU,COLUMN(Eigenschaften!$N$3))&gt;0,SITUATIONSBONUSSYMBOL,"")))</f>
        <v>2</v>
      </c>
      <c r="J25" s="301"/>
      <c r="K25" s="305" t="str">
        <f ca="1">CONCATENATE(INDIRECT(CONCATENATE(SUBSTITUTE($B25," ",""),"ABWEHR")),RÜSTUNGSABWEHRSYMBOL)</f>
        <v>11*</v>
      </c>
      <c r="L25" s="306"/>
      <c r="M25" s="5"/>
      <c r="N25" s="141" t="str">
        <f>ZÄH</f>
        <v>Zähigkeit</v>
      </c>
      <c r="O25" s="142"/>
      <c r="P25" s="142"/>
      <c r="Q25" s="142"/>
      <c r="R25" s="142"/>
      <c r="S25" s="143"/>
      <c r="T25" s="300" t="str">
        <f ca="1">IF(N25="","",CONCATENATE(INDIRECT(SUBSTITUTE(N25," ","")),IF(VLOOKUP(N25,EIGENSCHAFTTABLEAU,COLUMN(Eigenschaften!$N$3))&gt;0,SITUATIONSBONUSSYMBOL,"")))</f>
        <v>2</v>
      </c>
      <c r="U25" s="301"/>
      <c r="V25" s="305" t="str">
        <f ca="1">CONCATENATE(INDIRECT(CONCATENATE(SUBSTITUTE($N25," ",""),"ABWEHR")),RÜSTUNGSABWEHRSYMBOL)</f>
        <v>11*</v>
      </c>
      <c r="W25" s="306"/>
      <c r="X25" s="5"/>
      <c r="Y25" s="141" t="str">
        <f>ARK</f>
        <v>Arkane Kunde</v>
      </c>
      <c r="Z25" s="142"/>
      <c r="AA25" s="142"/>
      <c r="AB25" s="142"/>
      <c r="AC25" s="142"/>
      <c r="AD25" s="142"/>
      <c r="AE25" s="142"/>
      <c r="AF25" s="143"/>
      <c r="AG25" s="300" t="str">
        <f ca="1">IF(Y25="","",CONCATENATE(INDIRECT(SUBSTITUTE(Y25," ","")),IF(VLOOKUP(Y25,EIGENSCHAFTTABLEAU,COLUMN(Eigenschaften!$N$3))&gt;0,SITUATIONSBONUSSYMBOL,"")))</f>
        <v>2</v>
      </c>
      <c r="AH25" s="301"/>
      <c r="AI25" s="280"/>
      <c r="AJ25" s="122"/>
      <c r="AK25" s="122"/>
      <c r="AL25" s="122"/>
      <c r="AM25" s="122"/>
      <c r="AN25" s="122"/>
      <c r="AO25" s="122"/>
    </row>
    <row r="26" spans="1:41" ht="16.5" thickBot="1" thickTop="1">
      <c r="A26" s="264"/>
      <c r="B26" s="141" t="str">
        <f>KLI</f>
        <v>Klingenwaffen</v>
      </c>
      <c r="C26" s="142"/>
      <c r="D26" s="142"/>
      <c r="E26" s="142"/>
      <c r="F26" s="142"/>
      <c r="G26" s="332"/>
      <c r="H26" s="333" t="s">
        <v>541</v>
      </c>
      <c r="I26" s="300" t="str">
        <f ca="1">IF(B26="","",CONCATENATE(INDIRECT(SUBSTITUTE(B26," ","")),IF(VLOOKUP(B26,EIGENSCHAFTTABLEAU,COLUMN(Eigenschaften!$N$3))&gt;0,SITUATIONSBONUSSYMBOL,"")))</f>
        <v>2</v>
      </c>
      <c r="J26" s="301"/>
      <c r="K26" s="305" t="str">
        <f ca="1">CONCATENATE(INDIRECT(CONCATENATE(SUBSTITUTE($B26," ",""),"ABWEHR")),RÜSTUNGSABWEHRSYMBOL)</f>
        <v>11*</v>
      </c>
      <c r="L26" s="306"/>
      <c r="M26" s="5"/>
      <c r="N26" s="118" t="s">
        <v>395</v>
      </c>
      <c r="O26" s="84"/>
      <c r="P26" s="84"/>
      <c r="Q26" s="84"/>
      <c r="R26" s="84"/>
      <c r="S26" s="84"/>
      <c r="T26" s="84"/>
      <c r="U26" s="84"/>
      <c r="V26" s="84"/>
      <c r="W26" s="84"/>
      <c r="X26" s="84"/>
      <c r="Y26" s="141" t="str">
        <f>ATH</f>
        <v>Athletik</v>
      </c>
      <c r="Z26" s="142"/>
      <c r="AA26" s="142"/>
      <c r="AB26" s="142"/>
      <c r="AC26" s="142"/>
      <c r="AD26" s="142"/>
      <c r="AE26" s="142"/>
      <c r="AF26" s="143"/>
      <c r="AG26" s="300" t="str">
        <f ca="1">IF(Y26="","",CONCATENATE(INDIRECT(SUBSTITUTE(Y26," ","")),IF(VLOOKUP(Y26,EIGENSCHAFTTABLEAU,COLUMN(Eigenschaften!$N$3))&gt;0,SITUATIONSBONUSSYMBOL,"")))</f>
        <v>2</v>
      </c>
      <c r="AH26" s="301"/>
      <c r="AI26" s="280"/>
      <c r="AJ26" s="122"/>
      <c r="AK26" s="122"/>
      <c r="AL26" s="122"/>
      <c r="AM26" s="122"/>
      <c r="AN26" s="122"/>
      <c r="AO26" s="122"/>
    </row>
    <row r="27" spans="1:41" ht="16.5" thickBot="1" thickTop="1">
      <c r="A27" s="264"/>
      <c r="B27" s="141" t="str">
        <f>STA</f>
        <v>Stangenwaffen</v>
      </c>
      <c r="C27" s="142"/>
      <c r="D27" s="142"/>
      <c r="E27" s="142"/>
      <c r="F27" s="142"/>
      <c r="G27" s="332"/>
      <c r="H27" s="333" t="s">
        <v>542</v>
      </c>
      <c r="I27" s="300" t="str">
        <f ca="1">IF(B27="","",CONCATENATE(INDIRECT(SUBSTITUTE(B27," ","")),IF(VLOOKUP(B27,EIGENSCHAFTTABLEAU,COLUMN(Eigenschaften!$N$3))&gt;0,SITUATIONSBONUSSYMBOL,"")))</f>
        <v>2</v>
      </c>
      <c r="J27" s="301"/>
      <c r="K27" s="305" t="str">
        <f ca="1">CONCATENATE(INDIRECT(CONCATENATE(SUBSTITUTE($B27," ",""),"ABWEHR")),RÜSTUNGSABWEHRSYMBOL)</f>
        <v>11*</v>
      </c>
      <c r="L27" s="306"/>
      <c r="M27" s="5"/>
      <c r="N27" s="144" t="str">
        <f>VTD</f>
        <v>Verteidigung</v>
      </c>
      <c r="O27" s="145"/>
      <c r="P27" s="145"/>
      <c r="Q27" s="145"/>
      <c r="R27" s="145"/>
      <c r="S27" s="145"/>
      <c r="T27" s="145"/>
      <c r="U27" s="145"/>
      <c r="V27" s="303" t="str">
        <f ca="1">IF(N27="","",CONCATENATE(INDIRECT(SUBSTITUTE(N27," ","")),IF(VLOOKUP(N27,EIGENSCHAFTTABLEAU,COLUMN(Eigenschaften!$N$3))&gt;0,SITUATIONSBONUSSYMBOL,""),RÜSTUNGSABWEHRSYMBOL))</f>
        <v>14*</v>
      </c>
      <c r="W27" s="304"/>
      <c r="X27" s="5"/>
      <c r="Y27" s="141" t="str">
        <f>EMP</f>
        <v>Empathie</v>
      </c>
      <c r="Z27" s="142"/>
      <c r="AA27" s="142"/>
      <c r="AB27" s="142"/>
      <c r="AC27" s="142"/>
      <c r="AD27" s="142"/>
      <c r="AE27" s="142"/>
      <c r="AF27" s="143"/>
      <c r="AG27" s="300" t="str">
        <f ca="1">IF(Y27="","",CONCATENATE(INDIRECT(SUBSTITUTE(Y27," ","")),IF(VLOOKUP(Y27,EIGENSCHAFTTABLEAU,COLUMN(Eigenschaften!$N$3))&gt;0,SITUATIONSBONUSSYMBOL,"")))</f>
        <v>2</v>
      </c>
      <c r="AH27" s="301"/>
      <c r="AI27" s="280"/>
      <c r="AJ27" s="122"/>
      <c r="AK27" s="122"/>
      <c r="AL27" s="122"/>
      <c r="AM27" s="122"/>
      <c r="AN27" s="122"/>
      <c r="AO27" s="122"/>
    </row>
    <row r="28" spans="1:41" ht="16.5" thickBot="1" thickTop="1">
      <c r="A28" s="264"/>
      <c r="B28" s="141" t="str">
        <f>SCH</f>
        <v>Schusswaffen</v>
      </c>
      <c r="C28" s="142"/>
      <c r="D28" s="142"/>
      <c r="E28" s="142"/>
      <c r="F28" s="142"/>
      <c r="G28" s="332"/>
      <c r="H28" s="333" t="s">
        <v>543</v>
      </c>
      <c r="I28" s="300" t="str">
        <f ca="1">IF(B28="","",CONCATENATE(INDIRECT(SUBSTITUTE(B28," ","")),IF(VLOOKUP(B28,EIGENSCHAFTTABLEAU,COLUMN(Eigenschaften!$N$3))&gt;0,SITUATIONSBONUSSYMBOL,"")))</f>
        <v>2</v>
      </c>
      <c r="J28" s="301"/>
      <c r="K28" s="5"/>
      <c r="L28" s="5"/>
      <c r="M28" s="5"/>
      <c r="N28" s="144" t="str">
        <f>KWI</f>
        <v>Körperlicher Widerstand</v>
      </c>
      <c r="O28" s="145"/>
      <c r="P28" s="145"/>
      <c r="Q28" s="145"/>
      <c r="R28" s="145"/>
      <c r="S28" s="145"/>
      <c r="T28" s="145"/>
      <c r="U28" s="145"/>
      <c r="V28" s="303" t="str">
        <f ca="1">IF(N28="","",CONCATENATE(INDIRECT(SUBSTITUTE(N28," ","")),IF(VLOOKUP(N28,EIGENSCHAFTTABLEAU,COLUMN(Eigenschaften!$N$3))&gt;0,SITUATIONSBONUSSYMBOL,""),RÜSTUNGSABWEHRSYMBOL))</f>
        <v>14*</v>
      </c>
      <c r="W28" s="304"/>
      <c r="X28" s="5"/>
      <c r="Y28" s="141" t="str">
        <f>FIN</f>
        <v>Fingerfertigkeit</v>
      </c>
      <c r="Z28" s="142"/>
      <c r="AA28" s="142"/>
      <c r="AB28" s="142"/>
      <c r="AC28" s="142"/>
      <c r="AD28" s="142"/>
      <c r="AE28" s="142"/>
      <c r="AF28" s="143"/>
      <c r="AG28" s="300" t="str">
        <f ca="1">IF(Y28="","",CONCATENATE(INDIRECT(SUBSTITUTE(Y28," ","")),IF(VLOOKUP(Y28,EIGENSCHAFTTABLEAU,COLUMN(Eigenschaften!$N$3))&gt;0,SITUATIONSBONUSSYMBOL,"")))</f>
        <v>2</v>
      </c>
      <c r="AH28" s="301"/>
      <c r="AI28" s="280"/>
      <c r="AJ28" s="122"/>
      <c r="AK28" s="122"/>
      <c r="AL28" s="122"/>
      <c r="AM28" s="122"/>
      <c r="AN28" s="122"/>
      <c r="AO28" s="122"/>
    </row>
    <row r="29" spans="1:44" ht="16.5" thickBot="1" thickTop="1">
      <c r="A29" s="264"/>
      <c r="B29" s="141" t="str">
        <f>WUR</f>
        <v>Wurfwaffen</v>
      </c>
      <c r="C29" s="142"/>
      <c r="D29" s="142"/>
      <c r="E29" s="142"/>
      <c r="F29" s="142"/>
      <c r="G29" s="332"/>
      <c r="H29" s="333" t="s">
        <v>544</v>
      </c>
      <c r="I29" s="300" t="str">
        <f ca="1">IF(B29="","",CONCATENATE(INDIRECT(SUBSTITUTE(B29," ","")),IF(VLOOKUP(B29,EIGENSCHAFTTABLEAU,COLUMN(Eigenschaften!$N$3))&gt;0,SITUATIONSBONUSSYMBOL,"")))</f>
        <v>2</v>
      </c>
      <c r="J29" s="301"/>
      <c r="K29" s="5"/>
      <c r="L29" s="5"/>
      <c r="M29" s="5"/>
      <c r="N29" s="144" t="str">
        <f>GWI</f>
        <v>Geistiger Widerstand</v>
      </c>
      <c r="O29" s="145"/>
      <c r="P29" s="145"/>
      <c r="Q29" s="145"/>
      <c r="R29" s="145"/>
      <c r="S29" s="145"/>
      <c r="T29" s="145"/>
      <c r="U29" s="145"/>
      <c r="V29" s="303" t="str">
        <f ca="1">IF(N29="","",CONCATENATE(INDIRECT(SUBSTITUTE(N29," ","")),IF(VLOOKUP(N29,EIGENSCHAFTTABLEAU,COLUMN(Eigenschaften!$N$3))&gt;0,SITUATIONSBONUSSYMBOL,""),RÜSTUNGSABWEHRSYMBOL))</f>
        <v>14*</v>
      </c>
      <c r="W29" s="304"/>
      <c r="X29" s="1"/>
      <c r="Y29" s="141" t="str">
        <f>GUM</f>
        <v>Geschichte und Mythen</v>
      </c>
      <c r="Z29" s="142"/>
      <c r="AA29" s="142"/>
      <c r="AB29" s="142"/>
      <c r="AC29" s="142"/>
      <c r="AD29" s="142"/>
      <c r="AE29" s="142"/>
      <c r="AF29" s="143"/>
      <c r="AG29" s="300" t="str">
        <f ca="1">IF(Y29="","",CONCATENATE(INDIRECT(SUBSTITUTE(Y29," ","")),IF(VLOOKUP(Y29,EIGENSCHAFTTABLEAU,COLUMN(Eigenschaften!$N$3))&gt;0,SITUATIONSBONUSSYMBOL,"")))</f>
        <v>2</v>
      </c>
      <c r="AH29" s="301"/>
      <c r="AI29" s="280"/>
      <c r="AJ29" s="84"/>
      <c r="AK29" s="84"/>
      <c r="AL29" s="122"/>
      <c r="AM29" s="122"/>
      <c r="AN29" s="122"/>
      <c r="AO29" s="122"/>
      <c r="AP29" s="122"/>
      <c r="AQ29" s="122"/>
      <c r="AR29" s="122"/>
    </row>
    <row r="30" spans="1:44" ht="16.5" thickBot="1" thickTop="1">
      <c r="A30" s="275"/>
      <c r="B30" s="293"/>
      <c r="C30" s="293"/>
      <c r="D30" s="293"/>
      <c r="E30" s="293"/>
      <c r="F30" s="293"/>
      <c r="G30" s="293"/>
      <c r="H30" s="293"/>
      <c r="I30" s="293"/>
      <c r="J30" s="293"/>
      <c r="K30" s="293"/>
      <c r="L30" s="293"/>
      <c r="M30" s="293"/>
      <c r="N30" s="293"/>
      <c r="O30" s="293"/>
      <c r="P30" s="293"/>
      <c r="Q30" s="293"/>
      <c r="R30" s="293"/>
      <c r="S30" s="293"/>
      <c r="T30" s="293"/>
      <c r="U30" s="293"/>
      <c r="V30" s="293"/>
      <c r="W30" s="294"/>
      <c r="X30" s="152"/>
      <c r="Y30" s="141" t="str">
        <f>HEI</f>
        <v>Heilkunde</v>
      </c>
      <c r="Z30" s="142"/>
      <c r="AA30" s="142"/>
      <c r="AB30" s="142"/>
      <c r="AC30" s="142"/>
      <c r="AD30" s="142"/>
      <c r="AE30" s="142"/>
      <c r="AF30" s="143"/>
      <c r="AG30" s="300" t="str">
        <f ca="1">IF(Y30="","",CONCATENATE(INDIRECT(SUBSTITUTE(Y30," ","")),IF(VLOOKUP(Y30,EIGENSCHAFTTABLEAU,COLUMN(Eigenschaften!$N$3))&gt;0,SITUATIONSBONUSSYMBOL,"")))</f>
        <v>2</v>
      </c>
      <c r="AH30" s="301"/>
      <c r="AI30" s="280"/>
      <c r="AJ30" s="84"/>
      <c r="AK30" s="84"/>
      <c r="AL30" s="122"/>
      <c r="AN30" s="122"/>
      <c r="AO30" s="122"/>
      <c r="AP30" s="122"/>
      <c r="AQ30" s="122"/>
      <c r="AR30" s="122"/>
    </row>
    <row r="31" spans="1:44" ht="14.25" thickBot="1" thickTop="1">
      <c r="A31" s="4"/>
      <c r="V31" s="5"/>
      <c r="W31" s="5"/>
      <c r="X31" s="289"/>
      <c r="Y31" s="141" t="str">
        <f>HML</f>
        <v>Heimlichkeit</v>
      </c>
      <c r="Z31" s="142"/>
      <c r="AA31" s="142"/>
      <c r="AB31" s="142"/>
      <c r="AC31" s="142"/>
      <c r="AD31" s="142"/>
      <c r="AE31" s="142"/>
      <c r="AF31" s="143"/>
      <c r="AG31" s="300" t="str">
        <f ca="1">IF(Y31="","",CONCATENATE(INDIRECT(SUBSTITUTE(Y31," ","")),IF(VLOOKUP(Y31,EIGENSCHAFTTABLEAU,COLUMN(Eigenschaften!$N$3))&gt;0,SITUATIONSBONUSSYMBOL,"")))</f>
        <v>2</v>
      </c>
      <c r="AH31" s="301"/>
      <c r="AI31" s="280"/>
      <c r="AJ31" s="84"/>
      <c r="AK31" s="84"/>
      <c r="AL31" s="122"/>
      <c r="AM31" s="122"/>
      <c r="AN31" s="122"/>
      <c r="AO31" s="122"/>
      <c r="AP31" s="122"/>
      <c r="AQ31" s="122"/>
      <c r="AR31" s="122"/>
    </row>
    <row r="32" spans="1:44" ht="16.5" thickBot="1" thickTop="1">
      <c r="A32" s="261"/>
      <c r="B32" s="271"/>
      <c r="C32" s="271"/>
      <c r="D32" s="271"/>
      <c r="E32" s="271"/>
      <c r="F32" s="271"/>
      <c r="G32" s="271"/>
      <c r="H32" s="271"/>
      <c r="I32" s="271"/>
      <c r="J32" s="271"/>
      <c r="K32" s="271"/>
      <c r="L32" s="271"/>
      <c r="M32" s="271"/>
      <c r="N32" s="271"/>
      <c r="O32" s="271"/>
      <c r="P32" s="271"/>
      <c r="Q32" s="271"/>
      <c r="R32" s="271"/>
      <c r="S32" s="271"/>
      <c r="T32" s="271"/>
      <c r="U32" s="271"/>
      <c r="V32" s="272"/>
      <c r="W32" s="287"/>
      <c r="X32" s="289"/>
      <c r="Y32" s="141" t="str">
        <f>NAT</f>
        <v>Naturkunde</v>
      </c>
      <c r="Z32" s="142"/>
      <c r="AA32" s="142"/>
      <c r="AB32" s="142"/>
      <c r="AC32" s="142"/>
      <c r="AD32" s="142"/>
      <c r="AE32" s="142"/>
      <c r="AF32" s="143"/>
      <c r="AG32" s="300" t="str">
        <f ca="1">IF(Y32="","",CONCATENATE(INDIRECT(SUBSTITUTE(Y32," ","")),IF(VLOOKUP(Y32,EIGENSCHAFTTABLEAU,COLUMN(Eigenschaften!$N$3))&gt;0,SITUATIONSBONUSSYMBOL,"")))</f>
        <v>2</v>
      </c>
      <c r="AH32" s="301"/>
      <c r="AI32" s="280"/>
      <c r="AJ32" s="84"/>
      <c r="AK32" s="84"/>
      <c r="AL32" s="122"/>
      <c r="AM32" s="122"/>
      <c r="AN32" s="122"/>
      <c r="AO32" s="122"/>
      <c r="AP32" s="122"/>
      <c r="AQ32" s="122"/>
      <c r="AR32" s="122"/>
    </row>
    <row r="33" spans="1:44" ht="16.5" thickBot="1" thickTop="1">
      <c r="A33" s="264"/>
      <c r="B33" s="118" t="s">
        <v>375</v>
      </c>
      <c r="C33" s="84"/>
      <c r="D33" s="84"/>
      <c r="E33" s="84"/>
      <c r="F33" s="84"/>
      <c r="G33" s="84"/>
      <c r="H33" s="84"/>
      <c r="I33" s="5" t="s">
        <v>462</v>
      </c>
      <c r="J33" s="84"/>
      <c r="K33" s="5"/>
      <c r="L33" s="5" t="s">
        <v>376</v>
      </c>
      <c r="M33" s="84"/>
      <c r="N33" s="84"/>
      <c r="O33" s="5" t="s">
        <v>377</v>
      </c>
      <c r="P33" s="84"/>
      <c r="Q33" s="84"/>
      <c r="R33" s="5" t="s">
        <v>461</v>
      </c>
      <c r="S33" s="5"/>
      <c r="T33" s="5"/>
      <c r="U33" s="5"/>
      <c r="V33" s="265"/>
      <c r="W33" s="287"/>
      <c r="X33" s="289"/>
      <c r="Y33" s="141" t="str">
        <f>RED</f>
        <v>Redekunst</v>
      </c>
      <c r="Z33" s="142"/>
      <c r="AA33" s="142"/>
      <c r="AB33" s="142"/>
      <c r="AC33" s="142"/>
      <c r="AD33" s="142"/>
      <c r="AE33" s="142"/>
      <c r="AF33" s="143"/>
      <c r="AG33" s="300" t="str">
        <f ca="1">IF(Y33="","",CONCATENATE(INDIRECT(SUBSTITUTE(Y33," ","")),IF(VLOOKUP(Y33,EIGENSCHAFTTABLEAU,COLUMN(Eigenschaften!$N$3))&gt;0,SITUATIONSBONUSSYMBOL,"")))</f>
        <v>2</v>
      </c>
      <c r="AH33" s="301"/>
      <c r="AI33" s="280"/>
      <c r="AJ33" s="84"/>
      <c r="AK33" s="84"/>
      <c r="AL33" s="122"/>
      <c r="AM33" s="122"/>
      <c r="AN33" s="122"/>
      <c r="AO33" s="122"/>
      <c r="AP33" s="122"/>
      <c r="AQ33" s="122"/>
      <c r="AR33" s="122"/>
    </row>
    <row r="34" spans="1:44" ht="16.5" thickBot="1" thickTop="1">
      <c r="A34" s="264"/>
      <c r="B34" s="326" t="s">
        <v>534</v>
      </c>
      <c r="C34" s="327"/>
      <c r="D34" s="327"/>
      <c r="E34" s="327"/>
      <c r="F34" s="327"/>
      <c r="G34" s="327"/>
      <c r="H34" s="328"/>
      <c r="I34" s="323" t="s">
        <v>440</v>
      </c>
      <c r="J34" s="324"/>
      <c r="K34" s="325"/>
      <c r="L34" s="323" t="s">
        <v>535</v>
      </c>
      <c r="M34" s="324"/>
      <c r="N34" s="325"/>
      <c r="O34" s="323">
        <v>9</v>
      </c>
      <c r="P34" s="324"/>
      <c r="Q34" s="325"/>
      <c r="R34" s="323"/>
      <c r="S34" s="324"/>
      <c r="T34" s="325"/>
      <c r="U34" s="5"/>
      <c r="V34" s="265"/>
      <c r="W34" s="287"/>
      <c r="X34" s="289"/>
      <c r="Y34" s="141" t="str">
        <f>SUF</f>
        <v>Schlösser und Fallen</v>
      </c>
      <c r="Z34" s="142"/>
      <c r="AA34" s="142"/>
      <c r="AB34" s="142"/>
      <c r="AC34" s="142"/>
      <c r="AD34" s="142"/>
      <c r="AE34" s="142"/>
      <c r="AF34" s="143"/>
      <c r="AG34" s="300" t="str">
        <f ca="1">IF(Y34="","",CONCATENATE(INDIRECT(SUBSTITUTE(Y34," ","")),IF(VLOOKUP(Y34,EIGENSCHAFTTABLEAU,COLUMN(Eigenschaften!$N$3))&gt;0,SITUATIONSBONUSSYMBOL,"")))</f>
        <v>2</v>
      </c>
      <c r="AH34" s="301"/>
      <c r="AI34" s="280"/>
      <c r="AJ34" s="84"/>
      <c r="AK34" s="84"/>
      <c r="AL34" s="122"/>
      <c r="AM34" s="122"/>
      <c r="AN34" s="122"/>
      <c r="AO34" s="122"/>
      <c r="AP34" s="122"/>
      <c r="AQ34" s="122"/>
      <c r="AR34" s="122"/>
    </row>
    <row r="35" spans="1:44" ht="16.5" thickBot="1" thickTop="1">
      <c r="A35" s="264"/>
      <c r="B35" s="326"/>
      <c r="C35" s="327"/>
      <c r="D35" s="327"/>
      <c r="E35" s="327"/>
      <c r="F35" s="327"/>
      <c r="G35" s="327"/>
      <c r="H35" s="328"/>
      <c r="I35" s="323"/>
      <c r="J35" s="324"/>
      <c r="K35" s="325"/>
      <c r="L35" s="323"/>
      <c r="M35" s="324"/>
      <c r="N35" s="325"/>
      <c r="O35" s="323"/>
      <c r="P35" s="324"/>
      <c r="Q35" s="325"/>
      <c r="R35" s="323"/>
      <c r="S35" s="324"/>
      <c r="T35" s="325"/>
      <c r="U35" s="5"/>
      <c r="V35" s="265"/>
      <c r="W35" s="287"/>
      <c r="X35" s="289"/>
      <c r="Y35" s="141" t="str">
        <f>STR</f>
        <v>Straßenkunde</v>
      </c>
      <c r="Z35" s="142"/>
      <c r="AA35" s="142"/>
      <c r="AB35" s="142"/>
      <c r="AC35" s="142"/>
      <c r="AD35" s="142"/>
      <c r="AE35" s="142"/>
      <c r="AF35" s="143"/>
      <c r="AG35" s="300" t="str">
        <f ca="1">IF(Y35="","",CONCATENATE(INDIRECT(SUBSTITUTE(Y35," ","")),IF(VLOOKUP(Y35,EIGENSCHAFTTABLEAU,COLUMN(Eigenschaften!$N$3))&gt;0,SITUATIONSBONUSSYMBOL,"")))</f>
        <v>2</v>
      </c>
      <c r="AH35" s="301"/>
      <c r="AI35" s="280"/>
      <c r="AJ35" s="84"/>
      <c r="AK35" s="84"/>
      <c r="AL35" s="122"/>
      <c r="AM35" s="122"/>
      <c r="AN35" s="122"/>
      <c r="AO35" s="122"/>
      <c r="AP35" s="122"/>
      <c r="AQ35" s="122"/>
      <c r="AR35" s="122"/>
    </row>
    <row r="36" spans="1:44" ht="16.5" thickBot="1" thickTop="1">
      <c r="A36" s="264"/>
      <c r="B36" s="326"/>
      <c r="C36" s="327"/>
      <c r="D36" s="327"/>
      <c r="E36" s="327"/>
      <c r="F36" s="327"/>
      <c r="G36" s="327"/>
      <c r="H36" s="328"/>
      <c r="I36" s="323"/>
      <c r="J36" s="324"/>
      <c r="K36" s="325"/>
      <c r="L36" s="323"/>
      <c r="M36" s="324"/>
      <c r="N36" s="325"/>
      <c r="O36" s="323"/>
      <c r="P36" s="324"/>
      <c r="Q36" s="325"/>
      <c r="R36" s="323"/>
      <c r="S36" s="324"/>
      <c r="T36" s="325"/>
      <c r="U36" s="5"/>
      <c r="V36" s="265"/>
      <c r="W36" s="287"/>
      <c r="X36" s="289"/>
      <c r="Y36" s="141" t="str">
        <f>TIE</f>
        <v>Tierführung</v>
      </c>
      <c r="Z36" s="142"/>
      <c r="AA36" s="142"/>
      <c r="AB36" s="142"/>
      <c r="AC36" s="142"/>
      <c r="AD36" s="142"/>
      <c r="AE36" s="142"/>
      <c r="AF36" s="143"/>
      <c r="AG36" s="300" t="str">
        <f ca="1">IF(Y36="","",CONCATENATE(INDIRECT(SUBSTITUTE(Y36," ","")),IF(VLOOKUP(Y36,EIGENSCHAFTTABLEAU,COLUMN(Eigenschaften!$N$3))&gt;0,SITUATIONSBONUSSYMBOL,"")))</f>
        <v>2</v>
      </c>
      <c r="AH36" s="301"/>
      <c r="AI36" s="280"/>
      <c r="AJ36" s="84"/>
      <c r="AK36" s="84"/>
      <c r="AL36" s="122"/>
      <c r="AM36" s="122"/>
      <c r="AN36" s="122"/>
      <c r="AO36" s="122"/>
      <c r="AP36" s="122"/>
      <c r="AQ36" s="122"/>
      <c r="AR36" s="122"/>
    </row>
    <row r="37" spans="1:44" ht="16.5" thickBot="1" thickTop="1">
      <c r="A37" s="264"/>
      <c r="B37" s="326"/>
      <c r="C37" s="327"/>
      <c r="D37" s="327"/>
      <c r="E37" s="327"/>
      <c r="F37" s="327"/>
      <c r="G37" s="327"/>
      <c r="H37" s="328"/>
      <c r="I37" s="323"/>
      <c r="J37" s="324"/>
      <c r="K37" s="325"/>
      <c r="L37" s="323"/>
      <c r="M37" s="324"/>
      <c r="N37" s="325"/>
      <c r="O37" s="323"/>
      <c r="P37" s="324"/>
      <c r="Q37" s="325"/>
      <c r="R37" s="323"/>
      <c r="S37" s="324"/>
      <c r="T37" s="325"/>
      <c r="U37" s="5"/>
      <c r="V37" s="265"/>
      <c r="W37" s="287"/>
      <c r="X37" s="289"/>
      <c r="Y37" s="141" t="str">
        <f>ÜBE</f>
        <v>Überleben</v>
      </c>
      <c r="Z37" s="142"/>
      <c r="AA37" s="142"/>
      <c r="AB37" s="142"/>
      <c r="AC37" s="142"/>
      <c r="AD37" s="142"/>
      <c r="AE37" s="142"/>
      <c r="AF37" s="143"/>
      <c r="AG37" s="300" t="str">
        <f ca="1">IF(Y37="","",CONCATENATE(INDIRECT(SUBSTITUTE(Y37," ","")),IF(VLOOKUP(Y37,EIGENSCHAFTTABLEAU,COLUMN(Eigenschaften!$N$3))&gt;0,SITUATIONSBONUSSYMBOL,"")))</f>
        <v>2</v>
      </c>
      <c r="AH37" s="301"/>
      <c r="AI37" s="280"/>
      <c r="AJ37" s="84"/>
      <c r="AK37" s="84"/>
      <c r="AL37" s="122"/>
      <c r="AM37" s="122"/>
      <c r="AN37" s="122"/>
      <c r="AO37" s="122"/>
      <c r="AP37" s="122"/>
      <c r="AQ37" s="122"/>
      <c r="AR37" s="122"/>
    </row>
    <row r="38" spans="1:44" ht="16.5" thickBot="1" thickTop="1">
      <c r="A38" s="264"/>
      <c r="B38" s="118" t="s">
        <v>396</v>
      </c>
      <c r="C38" s="5"/>
      <c r="D38" s="5"/>
      <c r="E38" s="5"/>
      <c r="F38" s="5"/>
      <c r="G38" s="5"/>
      <c r="H38" s="5"/>
      <c r="I38" s="5" t="s">
        <v>136</v>
      </c>
      <c r="J38" s="5"/>
      <c r="K38" s="5"/>
      <c r="L38" s="5"/>
      <c r="M38" s="5" t="s">
        <v>379</v>
      </c>
      <c r="N38" s="5"/>
      <c r="O38" s="5"/>
      <c r="P38" s="5"/>
      <c r="Q38" s="5" t="s">
        <v>378</v>
      </c>
      <c r="R38" s="5"/>
      <c r="S38" s="5"/>
      <c r="T38" s="5"/>
      <c r="U38" s="5"/>
      <c r="V38" s="265"/>
      <c r="W38" s="287"/>
      <c r="X38" s="289"/>
      <c r="Y38" s="141" t="str">
        <f>WAH</f>
        <v>Wahrnehmung</v>
      </c>
      <c r="Z38" s="142"/>
      <c r="AA38" s="142"/>
      <c r="AB38" s="142"/>
      <c r="AC38" s="142"/>
      <c r="AD38" s="142"/>
      <c r="AE38" s="142"/>
      <c r="AF38" s="143"/>
      <c r="AG38" s="300" t="str">
        <f ca="1">IF(Y38="","",CONCATENATE(INDIRECT(SUBSTITUTE(Y38," ","")),IF(VLOOKUP(Y38,EIGENSCHAFTTABLEAU,COLUMN(Eigenschaften!$N$3))&gt;0,SITUATIONSBONUSSYMBOL,"")))</f>
        <v>2</v>
      </c>
      <c r="AH38" s="301"/>
      <c r="AI38" s="280"/>
      <c r="AJ38" s="84"/>
      <c r="AK38" s="84"/>
      <c r="AL38" s="122"/>
      <c r="AM38" s="122"/>
      <c r="AN38" s="122"/>
      <c r="AO38" s="122"/>
      <c r="AP38" s="122"/>
      <c r="AQ38" s="122"/>
      <c r="AR38" s="122"/>
    </row>
    <row r="39" spans="1:44" ht="16.5" thickBot="1" thickTop="1">
      <c r="A39" s="264"/>
      <c r="B39" s="326" t="s">
        <v>533</v>
      </c>
      <c r="C39" s="327"/>
      <c r="D39" s="327"/>
      <c r="E39" s="327"/>
      <c r="F39" s="327"/>
      <c r="G39" s="327"/>
      <c r="H39" s="328"/>
      <c r="I39" s="329" t="s">
        <v>536</v>
      </c>
      <c r="J39" s="330"/>
      <c r="K39" s="330"/>
      <c r="L39" s="331"/>
      <c r="M39" s="329"/>
      <c r="N39" s="330"/>
      <c r="O39" s="330"/>
      <c r="P39" s="331"/>
      <c r="Q39" s="329" t="s">
        <v>537</v>
      </c>
      <c r="R39" s="330"/>
      <c r="S39" s="330"/>
      <c r="T39" s="331"/>
      <c r="U39" s="5"/>
      <c r="V39" s="265"/>
      <c r="W39" s="287"/>
      <c r="X39" s="289"/>
      <c r="Y39" s="118" t="str">
        <f>'GENERIERUNG WERTE'!B45</f>
        <v>Fertigkeiten Zauber</v>
      </c>
      <c r="Z39" s="5"/>
      <c r="AA39" s="5"/>
      <c r="AB39" s="5"/>
      <c r="AC39" s="5"/>
      <c r="AD39" s="5"/>
      <c r="AE39" s="5"/>
      <c r="AF39" s="5"/>
      <c r="AG39" s="5"/>
      <c r="AH39" s="5"/>
      <c r="AI39" s="280"/>
      <c r="AJ39" s="84"/>
      <c r="AK39" s="84"/>
      <c r="AL39" s="122"/>
      <c r="AM39" s="122"/>
      <c r="AN39" s="122"/>
      <c r="AO39" s="122"/>
      <c r="AP39" s="122"/>
      <c r="AQ39" s="122"/>
      <c r="AR39" s="122"/>
    </row>
    <row r="40" spans="1:44" s="124" customFormat="1" ht="16.5" thickBot="1" thickTop="1">
      <c r="A40" s="264"/>
      <c r="B40" s="326"/>
      <c r="C40" s="327"/>
      <c r="D40" s="327"/>
      <c r="E40" s="327"/>
      <c r="F40" s="327"/>
      <c r="G40" s="327"/>
      <c r="H40" s="328"/>
      <c r="I40" s="329"/>
      <c r="J40" s="330"/>
      <c r="K40" s="330"/>
      <c r="L40" s="331"/>
      <c r="M40" s="329"/>
      <c r="N40" s="330"/>
      <c r="O40" s="330"/>
      <c r="P40" s="331"/>
      <c r="Q40" s="329"/>
      <c r="R40" s="330"/>
      <c r="S40" s="330"/>
      <c r="T40" s="331"/>
      <c r="U40" s="5"/>
      <c r="V40" s="265"/>
      <c r="W40" s="287"/>
      <c r="X40" s="295"/>
      <c r="Y40" s="141">
        <f aca="true" t="shared" si="0" ref="Y40:Y45">IF(COUNTIF(HILFSTABELLEMAGIESCHULE,2^(ROW(Y40)-ROW(Y$40)))&gt;0,VLOOKUP(2^(ROW(Y40)-ROW(Y$40)),HILFSTABELLEMAGIESCHULE,2,FALSE),"")</f>
      </c>
      <c r="Z40" s="142"/>
      <c r="AA40" s="142"/>
      <c r="AB40" s="142"/>
      <c r="AC40" s="142"/>
      <c r="AD40" s="142"/>
      <c r="AE40" s="142"/>
      <c r="AF40" s="143"/>
      <c r="AG40" s="300">
        <f ca="1">IF(Y40="","",CONCATENATE(INDIRECT(SUBSTITUTE(Y40," ","")),IF(VLOOKUP(Y40,EIGENSCHAFTTABLEAU,COLUMN(Eigenschaften!$N$3))&gt;0,SITUATIONSBONUSSYMBOL,"")))</f>
      </c>
      <c r="AH40" s="301"/>
      <c r="AI40" s="288"/>
      <c r="AJ40" s="126"/>
      <c r="AK40" s="126"/>
      <c r="AL40" s="123"/>
      <c r="AM40" s="123"/>
      <c r="AN40" s="123"/>
      <c r="AO40" s="123"/>
      <c r="AP40" s="123"/>
      <c r="AQ40" s="123"/>
      <c r="AR40" s="123"/>
    </row>
    <row r="41" spans="1:37" ht="16.5" thickBot="1" thickTop="1">
      <c r="A41" s="264"/>
      <c r="B41" s="326"/>
      <c r="C41" s="327"/>
      <c r="D41" s="327"/>
      <c r="E41" s="327"/>
      <c r="F41" s="327"/>
      <c r="G41" s="327"/>
      <c r="H41" s="328"/>
      <c r="I41" s="329"/>
      <c r="J41" s="330"/>
      <c r="K41" s="330"/>
      <c r="L41" s="331"/>
      <c r="M41" s="329"/>
      <c r="N41" s="330"/>
      <c r="O41" s="330"/>
      <c r="P41" s="331"/>
      <c r="Q41" s="329"/>
      <c r="R41" s="330"/>
      <c r="S41" s="330"/>
      <c r="T41" s="331"/>
      <c r="U41" s="273"/>
      <c r="V41" s="274"/>
      <c r="W41" s="287"/>
      <c r="X41" s="289"/>
      <c r="Y41" s="141">
        <f t="shared" si="0"/>
      </c>
      <c r="Z41" s="142"/>
      <c r="AA41" s="142"/>
      <c r="AB41" s="142"/>
      <c r="AC41" s="142"/>
      <c r="AD41" s="142"/>
      <c r="AE41" s="142"/>
      <c r="AF41" s="143"/>
      <c r="AG41" s="300">
        <f ca="1">IF(Y41="","",CONCATENATE(INDIRECT(SUBSTITUTE(Y41," ","")),IF(VLOOKUP(Y41,EIGENSCHAFTTABLEAU,COLUMN(Eigenschaften!$N$3))&gt;0,SITUATIONSBONUSSYMBOL,"")))</f>
      </c>
      <c r="AH41" s="301"/>
      <c r="AI41" s="265"/>
      <c r="AJ41" s="5"/>
      <c r="AK41" s="5"/>
    </row>
    <row r="42" spans="1:44" s="124" customFormat="1" ht="16.5" thickBot="1" thickTop="1">
      <c r="A42" s="275"/>
      <c r="B42" s="269"/>
      <c r="C42" s="269"/>
      <c r="D42" s="269"/>
      <c r="E42" s="269"/>
      <c r="F42" s="269"/>
      <c r="G42" s="269"/>
      <c r="H42" s="269"/>
      <c r="I42" s="269"/>
      <c r="J42" s="269"/>
      <c r="K42" s="269"/>
      <c r="L42" s="269"/>
      <c r="M42" s="269"/>
      <c r="N42" s="269"/>
      <c r="O42" s="269"/>
      <c r="P42" s="269"/>
      <c r="Q42" s="269"/>
      <c r="R42" s="269"/>
      <c r="S42" s="269"/>
      <c r="T42" s="269"/>
      <c r="U42" s="269"/>
      <c r="V42" s="276"/>
      <c r="W42" s="287"/>
      <c r="X42" s="295"/>
      <c r="Y42" s="141">
        <f t="shared" si="0"/>
      </c>
      <c r="Z42" s="142"/>
      <c r="AA42" s="142"/>
      <c r="AB42" s="142"/>
      <c r="AC42" s="142"/>
      <c r="AD42" s="142"/>
      <c r="AE42" s="142"/>
      <c r="AF42" s="143"/>
      <c r="AG42" s="300">
        <f ca="1">IF(Y42="","",CONCATENATE(INDIRECT(SUBSTITUTE(Y42," ","")),IF(VLOOKUP(Y42,EIGENSCHAFTTABLEAU,COLUMN(Eigenschaften!$N$3))&gt;0,SITUATIONSBONUSSYMBOL,"")))</f>
      </c>
      <c r="AH42" s="301"/>
      <c r="AI42" s="288"/>
      <c r="AJ42" s="126"/>
      <c r="AK42" s="126"/>
      <c r="AL42" s="123"/>
      <c r="AM42" s="123"/>
      <c r="AN42" s="123"/>
      <c r="AO42" s="123"/>
      <c r="AP42" s="123"/>
      <c r="AQ42" s="123"/>
      <c r="AR42" s="123"/>
    </row>
    <row r="43" spans="1:44" ht="14.25" thickBot="1" thickTop="1">
      <c r="A43" s="4"/>
      <c r="W43" s="265"/>
      <c r="X43" s="289"/>
      <c r="Y43" s="141">
        <f t="shared" si="0"/>
      </c>
      <c r="Z43" s="142"/>
      <c r="AA43" s="142"/>
      <c r="AB43" s="142"/>
      <c r="AC43" s="142"/>
      <c r="AD43" s="142"/>
      <c r="AE43" s="142"/>
      <c r="AF43" s="143"/>
      <c r="AG43" s="300">
        <f ca="1">IF(Y43="","",CONCATENATE(INDIRECT(SUBSTITUTE(Y43," ","")),IF(VLOOKUP(Y43,EIGENSCHAFTTABLEAU,COLUMN(Eigenschaften!$N$3))&gt;0,SITUATIONSBONUSSYMBOL,"")))</f>
      </c>
      <c r="AH43" s="301"/>
      <c r="AI43" s="280"/>
      <c r="AJ43" s="84"/>
      <c r="AK43" s="84"/>
      <c r="AL43" s="122"/>
      <c r="AM43" s="122"/>
      <c r="AN43" s="122"/>
      <c r="AO43" s="122"/>
      <c r="AP43" s="122"/>
      <c r="AQ43" s="122"/>
      <c r="AR43" s="122"/>
    </row>
    <row r="44" spans="1:37" ht="16.5" thickBot="1" thickTop="1">
      <c r="A44" s="261"/>
      <c r="B44" s="262"/>
      <c r="C44" s="262"/>
      <c r="D44" s="262"/>
      <c r="E44" s="262"/>
      <c r="F44" s="262"/>
      <c r="G44" s="262"/>
      <c r="H44" s="262"/>
      <c r="I44" s="262"/>
      <c r="J44" s="262"/>
      <c r="K44" s="262"/>
      <c r="L44" s="262"/>
      <c r="M44" s="262"/>
      <c r="N44" s="262"/>
      <c r="O44" s="262"/>
      <c r="P44" s="262"/>
      <c r="Q44" s="262"/>
      <c r="R44" s="262"/>
      <c r="S44" s="262"/>
      <c r="T44" s="262"/>
      <c r="U44" s="262"/>
      <c r="V44" s="263"/>
      <c r="W44" s="289"/>
      <c r="X44" s="289"/>
      <c r="Y44" s="141">
        <f t="shared" si="0"/>
      </c>
      <c r="Z44" s="142"/>
      <c r="AA44" s="142"/>
      <c r="AB44" s="142"/>
      <c r="AC44" s="142"/>
      <c r="AD44" s="142"/>
      <c r="AE44" s="142"/>
      <c r="AF44" s="143"/>
      <c r="AG44" s="300">
        <f ca="1">IF(Y44="","",CONCATENATE(INDIRECT(SUBSTITUTE(Y44," ","")),IF(VLOOKUP(Y44,EIGENSCHAFTTABLEAU,COLUMN(Eigenschaften!$N$3))&gt;0,SITUATIONSBONUSSYMBOL,"")))</f>
      </c>
      <c r="AH44" s="301"/>
      <c r="AI44" s="265"/>
      <c r="AJ44" s="5"/>
      <c r="AK44" s="5"/>
    </row>
    <row r="45" spans="1:37" ht="16.5" thickBot="1" thickTop="1">
      <c r="A45" s="264"/>
      <c r="B45" s="119" t="s">
        <v>388</v>
      </c>
      <c r="C45" s="84"/>
      <c r="D45" s="84"/>
      <c r="E45" s="84"/>
      <c r="F45" s="84"/>
      <c r="G45" s="84"/>
      <c r="H45" s="84"/>
      <c r="I45" s="84"/>
      <c r="J45" s="84"/>
      <c r="K45" s="84"/>
      <c r="L45" s="84"/>
      <c r="M45" s="84"/>
      <c r="N45" s="84"/>
      <c r="O45" s="84"/>
      <c r="P45" s="84"/>
      <c r="Q45" s="84"/>
      <c r="R45" s="84"/>
      <c r="S45" s="84"/>
      <c r="T45" s="84"/>
      <c r="U45" s="5"/>
      <c r="V45" s="265"/>
      <c r="W45" s="289"/>
      <c r="X45" s="289"/>
      <c r="Y45" s="141">
        <f t="shared" si="0"/>
      </c>
      <c r="Z45" s="142"/>
      <c r="AA45" s="142"/>
      <c r="AB45" s="142"/>
      <c r="AC45" s="142"/>
      <c r="AD45" s="142"/>
      <c r="AE45" s="142"/>
      <c r="AF45" s="143"/>
      <c r="AG45" s="300">
        <f ca="1">IF(Y45="","",CONCATENATE(INDIRECT(SUBSTITUTE(Y45," ","")),IF(VLOOKUP(Y45,EIGENSCHAFTTABLEAU,COLUMN(Eigenschaften!$N$3))&gt;0,SITUATIONSBONUSSYMBOL,"")))</f>
      </c>
      <c r="AH45" s="301"/>
      <c r="AI45" s="265"/>
      <c r="AJ45" s="5"/>
      <c r="AK45" s="5"/>
    </row>
    <row r="46" spans="1:37" ht="16.5" thickBot="1" thickTop="1">
      <c r="A46" s="264"/>
      <c r="B46" s="127">
        <f aca="true" t="shared" si="1" ref="B46:B55">IF(COUNTIF(HILFSTABELLEMEISTERSCHAFTEN,2^(ROW(B46)-ROW(B$46)+0))&gt;0,VLOOKUP(2^(ROW(B46)-ROW(B$46)+0),HILFSTABELLEMEISTERSCHAFTEN,2,FALSE),"")</f>
      </c>
      <c r="C46" s="128"/>
      <c r="D46" s="128"/>
      <c r="E46" s="128"/>
      <c r="F46" s="128"/>
      <c r="G46" s="128"/>
      <c r="H46" s="128"/>
      <c r="I46" s="128"/>
      <c r="J46" s="129"/>
      <c r="K46" s="84"/>
      <c r="L46" s="127">
        <f aca="true" t="shared" si="2" ref="L46:L55">IF(COUNTIF(HILFSTABELLEMEISTERSCHAFTEN,2^(ROW(L46)-ROW(L$46)+10))&gt;0,VLOOKUP(2^(ROW(L46)-ROW(L$46)+10),HILFSTABELLEMEISTERSCHAFTEN,2,FALSE),"")</f>
      </c>
      <c r="M46" s="128"/>
      <c r="N46" s="128"/>
      <c r="O46" s="128"/>
      <c r="P46" s="128"/>
      <c r="Q46" s="128"/>
      <c r="R46" s="128"/>
      <c r="S46" s="128"/>
      <c r="T46" s="129"/>
      <c r="U46" s="5"/>
      <c r="V46" s="265"/>
      <c r="W46" s="289"/>
      <c r="X46" s="289"/>
      <c r="Y46" s="5"/>
      <c r="Z46" s="5"/>
      <c r="AA46" s="5"/>
      <c r="AB46" s="5"/>
      <c r="AC46" s="5"/>
      <c r="AD46" s="5"/>
      <c r="AE46" s="5"/>
      <c r="AF46" s="5"/>
      <c r="AG46" s="5"/>
      <c r="AH46" s="5"/>
      <c r="AI46" s="265"/>
      <c r="AJ46" s="5"/>
      <c r="AK46" s="5"/>
    </row>
    <row r="47" spans="1:37" ht="14.25" thickBot="1" thickTop="1">
      <c r="A47" s="266"/>
      <c r="B47" s="127">
        <f t="shared" si="1"/>
      </c>
      <c r="C47" s="128"/>
      <c r="D47" s="128"/>
      <c r="E47" s="128"/>
      <c r="F47" s="128"/>
      <c r="G47" s="128"/>
      <c r="H47" s="128"/>
      <c r="I47" s="128"/>
      <c r="J47" s="129"/>
      <c r="K47" s="84"/>
      <c r="L47" s="127">
        <f t="shared" si="2"/>
      </c>
      <c r="M47" s="128"/>
      <c r="N47" s="128"/>
      <c r="O47" s="128"/>
      <c r="P47" s="128"/>
      <c r="Q47" s="128"/>
      <c r="R47" s="128"/>
      <c r="S47" s="128"/>
      <c r="T47" s="129"/>
      <c r="U47" s="5"/>
      <c r="V47" s="265"/>
      <c r="W47" s="289"/>
      <c r="X47" s="271"/>
      <c r="Y47" s="278"/>
      <c r="Z47" s="278"/>
      <c r="AA47" s="278"/>
      <c r="AB47" s="278"/>
      <c r="AC47" s="278"/>
      <c r="AD47" s="278"/>
      <c r="AE47" s="278"/>
      <c r="AF47" s="278"/>
      <c r="AG47" s="278"/>
      <c r="AH47" s="278"/>
      <c r="AI47" s="271"/>
      <c r="AJ47" s="5"/>
      <c r="AK47" s="5"/>
    </row>
    <row r="48" spans="1:37" ht="14.25" thickBot="1" thickTop="1">
      <c r="A48" s="267"/>
      <c r="B48" s="127">
        <f t="shared" si="1"/>
      </c>
      <c r="C48" s="128"/>
      <c r="D48" s="128"/>
      <c r="E48" s="128"/>
      <c r="F48" s="128"/>
      <c r="G48" s="128"/>
      <c r="H48" s="128"/>
      <c r="I48" s="128"/>
      <c r="J48" s="129"/>
      <c r="K48" s="84"/>
      <c r="L48" s="127">
        <f t="shared" si="2"/>
      </c>
      <c r="M48" s="128"/>
      <c r="N48" s="128"/>
      <c r="O48" s="128"/>
      <c r="P48" s="128"/>
      <c r="Q48" s="128"/>
      <c r="R48" s="128"/>
      <c r="S48" s="128"/>
      <c r="T48" s="129"/>
      <c r="U48" s="5"/>
      <c r="V48" s="265"/>
      <c r="W48" s="289"/>
      <c r="X48" s="5"/>
      <c r="Y48" s="290" t="str">
        <f>CONCATENATE(RÜSTUNGSABWEHRSYMBOL," bedeutet: Ohne Bonus durch Rüstung")</f>
        <v>* bedeutet: Ohne Bonus durch Rüstung</v>
      </c>
      <c r="Z48" s="5"/>
      <c r="AA48" s="5"/>
      <c r="AB48" s="5"/>
      <c r="AC48" s="5"/>
      <c r="AD48" s="5"/>
      <c r="AE48" s="5"/>
      <c r="AF48" s="5"/>
      <c r="AG48" s="5"/>
      <c r="AH48" s="5"/>
      <c r="AI48" s="5"/>
      <c r="AJ48" s="84"/>
      <c r="AK48" s="5"/>
    </row>
    <row r="49" spans="1:37" ht="14.25" thickBot="1" thickTop="1">
      <c r="A49" s="267"/>
      <c r="B49" s="127">
        <f t="shared" si="1"/>
      </c>
      <c r="C49" s="128"/>
      <c r="D49" s="128"/>
      <c r="E49" s="128"/>
      <c r="F49" s="128"/>
      <c r="G49" s="128"/>
      <c r="H49" s="128"/>
      <c r="I49" s="128"/>
      <c r="J49" s="129"/>
      <c r="K49" s="84"/>
      <c r="L49" s="127">
        <f t="shared" si="2"/>
      </c>
      <c r="M49" s="128"/>
      <c r="N49" s="128"/>
      <c r="O49" s="128"/>
      <c r="P49" s="128"/>
      <c r="Q49" s="128"/>
      <c r="R49" s="128"/>
      <c r="S49" s="128"/>
      <c r="T49" s="129"/>
      <c r="U49" s="5"/>
      <c r="V49" s="265"/>
      <c r="W49" s="289"/>
      <c r="Y49" s="290" t="str">
        <f>CONCATENATE(SITUATIONSBONUSSYMBOL," bedeutet: Situativer Bonus möglich")</f>
        <v>` bedeutet: Situativer Bonus möglich</v>
      </c>
      <c r="AJ49" s="84"/>
      <c r="AK49" s="5"/>
    </row>
    <row r="50" spans="1:37" ht="14.25" thickBot="1" thickTop="1">
      <c r="A50" s="267"/>
      <c r="B50" s="127">
        <f t="shared" si="1"/>
      </c>
      <c r="C50" s="128"/>
      <c r="D50" s="128"/>
      <c r="E50" s="128"/>
      <c r="F50" s="128"/>
      <c r="G50" s="128"/>
      <c r="H50" s="128"/>
      <c r="I50" s="128"/>
      <c r="J50" s="129"/>
      <c r="K50" s="84"/>
      <c r="L50" s="127">
        <f t="shared" si="2"/>
      </c>
      <c r="M50" s="128"/>
      <c r="N50" s="128"/>
      <c r="O50" s="128"/>
      <c r="P50" s="128"/>
      <c r="Q50" s="128"/>
      <c r="R50" s="128"/>
      <c r="S50" s="128"/>
      <c r="T50" s="129"/>
      <c r="U50" s="5"/>
      <c r="V50" s="265"/>
      <c r="W50" s="289"/>
      <c r="X50" s="122"/>
      <c r="AI50" s="122"/>
      <c r="AJ50" s="5"/>
      <c r="AK50" s="5"/>
    </row>
    <row r="51" spans="1:37" ht="16.5" thickBot="1" thickTop="1">
      <c r="A51" s="267"/>
      <c r="B51" s="127">
        <f t="shared" si="1"/>
      </c>
      <c r="C51" s="128"/>
      <c r="D51" s="128"/>
      <c r="E51" s="128"/>
      <c r="F51" s="128"/>
      <c r="G51" s="128"/>
      <c r="H51" s="128"/>
      <c r="I51" s="128"/>
      <c r="J51" s="129"/>
      <c r="K51" s="84"/>
      <c r="L51" s="127">
        <f t="shared" si="2"/>
      </c>
      <c r="M51" s="128"/>
      <c r="N51" s="128"/>
      <c r="O51" s="128"/>
      <c r="P51" s="128"/>
      <c r="Q51" s="128"/>
      <c r="R51" s="128"/>
      <c r="S51" s="128"/>
      <c r="T51" s="129"/>
      <c r="U51" s="5"/>
      <c r="V51" s="265"/>
      <c r="W51" s="84"/>
      <c r="X51" s="122"/>
      <c r="Y51" s="157" t="s">
        <v>139</v>
      </c>
      <c r="Z51" s="122"/>
      <c r="AA51" s="122"/>
      <c r="AB51" s="122"/>
      <c r="AC51" s="122"/>
      <c r="AD51" s="122"/>
      <c r="AE51" s="122"/>
      <c r="AF51" s="122"/>
      <c r="AG51" s="122"/>
      <c r="AH51" s="122"/>
      <c r="AI51" s="122"/>
      <c r="AJ51" s="5"/>
      <c r="AK51" s="5"/>
    </row>
    <row r="52" spans="1:37" ht="14.25" thickBot="1" thickTop="1">
      <c r="A52" s="267"/>
      <c r="B52" s="127">
        <f t="shared" si="1"/>
      </c>
      <c r="C52" s="128"/>
      <c r="D52" s="128"/>
      <c r="E52" s="128"/>
      <c r="F52" s="128"/>
      <c r="G52" s="128"/>
      <c r="H52" s="128"/>
      <c r="I52" s="128"/>
      <c r="J52" s="129"/>
      <c r="K52" s="84"/>
      <c r="L52" s="127">
        <f t="shared" si="2"/>
      </c>
      <c r="M52" s="128"/>
      <c r="N52" s="128"/>
      <c r="O52" s="128"/>
      <c r="P52" s="128"/>
      <c r="Q52" s="128"/>
      <c r="R52" s="128"/>
      <c r="S52" s="128"/>
      <c r="T52" s="129"/>
      <c r="U52" s="5"/>
      <c r="V52" s="265"/>
      <c r="W52" s="84"/>
      <c r="X52" s="122"/>
      <c r="Y52" s="146" t="str">
        <f>AUS</f>
        <v>Ausstrahlung</v>
      </c>
      <c r="Z52" s="147"/>
      <c r="AA52" s="147"/>
      <c r="AB52" s="147"/>
      <c r="AC52" s="147"/>
      <c r="AD52" s="147"/>
      <c r="AE52" s="147"/>
      <c r="AF52" s="148"/>
      <c r="AG52" s="298">
        <f ca="1" t="shared" si="3" ref="AG52:AG60">INDIRECT(Y52)</f>
        <v>1</v>
      </c>
      <c r="AH52" s="299"/>
      <c r="AI52" s="122"/>
      <c r="AJ52" s="5"/>
      <c r="AK52" s="5"/>
    </row>
    <row r="53" spans="1:37" ht="14.25" thickBot="1" thickTop="1">
      <c r="A53" s="267"/>
      <c r="B53" s="127">
        <f t="shared" si="1"/>
      </c>
      <c r="C53" s="128"/>
      <c r="D53" s="128"/>
      <c r="E53" s="128"/>
      <c r="F53" s="128"/>
      <c r="G53" s="128"/>
      <c r="H53" s="128"/>
      <c r="I53" s="128"/>
      <c r="J53" s="129"/>
      <c r="K53" s="84"/>
      <c r="L53" s="127">
        <f t="shared" si="2"/>
      </c>
      <c r="M53" s="128"/>
      <c r="N53" s="128"/>
      <c r="O53" s="128"/>
      <c r="P53" s="128"/>
      <c r="Q53" s="128"/>
      <c r="R53" s="128"/>
      <c r="S53" s="128"/>
      <c r="T53" s="129"/>
      <c r="U53" s="5"/>
      <c r="V53" s="265"/>
      <c r="W53" s="84"/>
      <c r="X53" s="122"/>
      <c r="Y53" s="146" t="str">
        <f>BEW</f>
        <v>Beweglichkeit</v>
      </c>
      <c r="Z53" s="147"/>
      <c r="AA53" s="147"/>
      <c r="AB53" s="147"/>
      <c r="AC53" s="147"/>
      <c r="AD53" s="147"/>
      <c r="AE53" s="147"/>
      <c r="AF53" s="148"/>
      <c r="AG53" s="298">
        <f ca="1" t="shared" si="3"/>
        <v>1</v>
      </c>
      <c r="AH53" s="299"/>
      <c r="AI53" s="122"/>
      <c r="AJ53" s="5"/>
      <c r="AK53" s="5"/>
    </row>
    <row r="54" spans="1:37" ht="14.25" thickBot="1" thickTop="1">
      <c r="A54" s="267"/>
      <c r="B54" s="127">
        <f t="shared" si="1"/>
      </c>
      <c r="C54" s="128"/>
      <c r="D54" s="128"/>
      <c r="E54" s="128"/>
      <c r="F54" s="128"/>
      <c r="G54" s="128"/>
      <c r="H54" s="128"/>
      <c r="I54" s="128"/>
      <c r="J54" s="129"/>
      <c r="K54" s="84"/>
      <c r="L54" s="127">
        <f t="shared" si="2"/>
      </c>
      <c r="M54" s="128"/>
      <c r="N54" s="128"/>
      <c r="O54" s="128"/>
      <c r="P54" s="128"/>
      <c r="Q54" s="128"/>
      <c r="R54" s="128"/>
      <c r="S54" s="128"/>
      <c r="T54" s="129"/>
      <c r="U54" s="5"/>
      <c r="V54" s="265"/>
      <c r="W54" s="84"/>
      <c r="X54" s="122"/>
      <c r="Y54" s="146" t="str">
        <f>GES</f>
        <v>Geschicklichkeit</v>
      </c>
      <c r="Z54" s="147"/>
      <c r="AA54" s="147"/>
      <c r="AB54" s="147"/>
      <c r="AC54" s="147"/>
      <c r="AD54" s="147"/>
      <c r="AE54" s="147"/>
      <c r="AF54" s="148"/>
      <c r="AG54" s="298">
        <f ca="1" t="shared" si="3"/>
        <v>1</v>
      </c>
      <c r="AH54" s="299"/>
      <c r="AI54" s="122"/>
      <c r="AJ54" s="5"/>
      <c r="AK54" s="5"/>
    </row>
    <row r="55" spans="1:37" ht="14.25" thickBot="1" thickTop="1">
      <c r="A55" s="267"/>
      <c r="B55" s="127">
        <f t="shared" si="1"/>
      </c>
      <c r="C55" s="128"/>
      <c r="D55" s="128"/>
      <c r="E55" s="128"/>
      <c r="F55" s="128"/>
      <c r="G55" s="128"/>
      <c r="H55" s="128"/>
      <c r="I55" s="128"/>
      <c r="J55" s="129"/>
      <c r="K55" s="84"/>
      <c r="L55" s="127">
        <f t="shared" si="2"/>
      </c>
      <c r="M55" s="128"/>
      <c r="N55" s="128"/>
      <c r="O55" s="128"/>
      <c r="P55" s="128"/>
      <c r="Q55" s="128"/>
      <c r="R55" s="128"/>
      <c r="S55" s="128"/>
      <c r="T55" s="129"/>
      <c r="U55" s="5"/>
      <c r="V55" s="265"/>
      <c r="W55" s="84"/>
      <c r="X55" s="122"/>
      <c r="Y55" s="146" t="str">
        <f>INT</f>
        <v>Intuition</v>
      </c>
      <c r="Z55" s="147"/>
      <c r="AA55" s="147"/>
      <c r="AB55" s="147"/>
      <c r="AC55" s="147"/>
      <c r="AD55" s="147"/>
      <c r="AE55" s="147"/>
      <c r="AF55" s="148"/>
      <c r="AG55" s="298">
        <f ca="1" t="shared" si="3"/>
        <v>1</v>
      </c>
      <c r="AH55" s="299"/>
      <c r="AI55" s="122"/>
      <c r="AJ55" s="5"/>
      <c r="AK55" s="5"/>
    </row>
    <row r="56" spans="1:37" ht="16.5" thickBot="1" thickTop="1">
      <c r="A56" s="267"/>
      <c r="B56" s="119" t="s">
        <v>380</v>
      </c>
      <c r="C56" s="84"/>
      <c r="D56" s="84"/>
      <c r="E56" s="84"/>
      <c r="F56" s="84"/>
      <c r="G56" s="84"/>
      <c r="H56" s="84"/>
      <c r="I56" s="84"/>
      <c r="J56" s="84"/>
      <c r="K56" s="5"/>
      <c r="L56" s="5"/>
      <c r="M56" s="5"/>
      <c r="N56" s="5"/>
      <c r="O56" s="5"/>
      <c r="P56" s="5"/>
      <c r="Q56" s="5"/>
      <c r="R56" s="5"/>
      <c r="S56" s="5"/>
      <c r="T56" s="5"/>
      <c r="U56" s="5"/>
      <c r="V56" s="265"/>
      <c r="W56" s="126"/>
      <c r="X56" s="122"/>
      <c r="Y56" s="146" t="str">
        <f>KON</f>
        <v>Konstitution</v>
      </c>
      <c r="Z56" s="147"/>
      <c r="AA56" s="147"/>
      <c r="AB56" s="147"/>
      <c r="AC56" s="147"/>
      <c r="AD56" s="147"/>
      <c r="AE56" s="147"/>
      <c r="AF56" s="148"/>
      <c r="AG56" s="298">
        <f ca="1" t="shared" si="3"/>
        <v>1</v>
      </c>
      <c r="AH56" s="299"/>
      <c r="AI56" s="122"/>
      <c r="AJ56" s="5"/>
      <c r="AK56" s="5"/>
    </row>
    <row r="57" spans="1:37" ht="14.25" thickBot="1" thickTop="1">
      <c r="A57" s="267"/>
      <c r="B57" s="127">
        <f>IF(COUNTIF(HILFSTABELLEVORTEILE,2^(ROW(B57)-ROW(B$57)+0))&gt;0,VLOOKUP(2^(ROW(B57)-ROW(B$57)+0),HILFSTABELLEVORTEILE,2,FALSE),"")</f>
      </c>
      <c r="C57" s="128"/>
      <c r="D57" s="128"/>
      <c r="E57" s="128"/>
      <c r="F57" s="128"/>
      <c r="G57" s="128"/>
      <c r="H57" s="128"/>
      <c r="I57" s="128"/>
      <c r="J57" s="129"/>
      <c r="K57" s="5"/>
      <c r="L57" s="127">
        <f>IF(COUNTIF(HILFSTABELLEVORTEILE,2^(ROW(L57)-ROW(B$57)+5))&gt;0,VLOOKUP(2^(ROW(L57)-ROW(B$57)+5),HILFSTABELLEVORTEILE,2,FALSE),"")</f>
      </c>
      <c r="M57" s="128"/>
      <c r="N57" s="128"/>
      <c r="O57" s="128"/>
      <c r="P57" s="128"/>
      <c r="Q57" s="128"/>
      <c r="R57" s="128"/>
      <c r="S57" s="128"/>
      <c r="T57" s="129"/>
      <c r="U57" s="5"/>
      <c r="V57" s="265"/>
      <c r="W57" s="5"/>
      <c r="X57" s="122"/>
      <c r="Y57" s="146" t="str">
        <f>MYS</f>
        <v>Mystik</v>
      </c>
      <c r="Z57" s="147"/>
      <c r="AA57" s="147"/>
      <c r="AB57" s="147"/>
      <c r="AC57" s="147"/>
      <c r="AD57" s="147"/>
      <c r="AE57" s="147"/>
      <c r="AF57" s="148"/>
      <c r="AG57" s="298">
        <f ca="1" t="shared" si="3"/>
        <v>1</v>
      </c>
      <c r="AH57" s="299"/>
      <c r="AI57" s="122"/>
      <c r="AJ57" s="5"/>
      <c r="AK57" s="5"/>
    </row>
    <row r="58" spans="1:44" ht="14.25" thickBot="1" thickTop="1">
      <c r="A58" s="267"/>
      <c r="B58" s="127">
        <f>IF(COUNTIF(HILFSTABELLEVORTEILE,2^(ROW(B58)-ROW(B$57)+0))&gt;0,VLOOKUP(2^(ROW(B58)-ROW(B$57)+0),HILFSTABELLEVORTEILE,2,FALSE),"")</f>
      </c>
      <c r="C58" s="128"/>
      <c r="D58" s="128"/>
      <c r="E58" s="128"/>
      <c r="F58" s="128"/>
      <c r="G58" s="128"/>
      <c r="H58" s="128"/>
      <c r="I58" s="128"/>
      <c r="J58" s="129"/>
      <c r="K58" s="5"/>
      <c r="L58" s="127">
        <f>IF(COUNTIF(HILFSTABELLEVORTEILE,2^(ROW(L58)-ROW(B$57)+5))&gt;0,VLOOKUP(2^(ROW(L58)-ROW(B$57)+5),HILFSTABELLEVORTEILE,2,FALSE),"")</f>
      </c>
      <c r="M58" s="128"/>
      <c r="N58" s="128"/>
      <c r="O58" s="128"/>
      <c r="P58" s="128"/>
      <c r="Q58" s="128"/>
      <c r="R58" s="128"/>
      <c r="S58" s="128"/>
      <c r="T58" s="129"/>
      <c r="U58" s="5"/>
      <c r="V58" s="265"/>
      <c r="X58" s="122"/>
      <c r="Y58" s="146" t="str">
        <f>STÄ</f>
        <v>Stärke</v>
      </c>
      <c r="Z58" s="147"/>
      <c r="AA58" s="147"/>
      <c r="AB58" s="147"/>
      <c r="AC58" s="147"/>
      <c r="AD58" s="147"/>
      <c r="AE58" s="147"/>
      <c r="AF58" s="148"/>
      <c r="AG58" s="298">
        <f ca="1" t="shared" si="3"/>
        <v>1</v>
      </c>
      <c r="AH58" s="299"/>
      <c r="AI58" s="122"/>
      <c r="AJ58" s="122"/>
      <c r="AK58" s="122"/>
      <c r="AL58" s="122"/>
      <c r="AM58" s="122"/>
      <c r="AN58" s="122"/>
      <c r="AO58" s="122"/>
      <c r="AP58" s="122"/>
      <c r="AQ58" s="122"/>
      <c r="AR58" s="122"/>
    </row>
    <row r="59" spans="1:44" ht="14.25" thickBot="1" thickTop="1">
      <c r="A59" s="267"/>
      <c r="B59" s="127">
        <f>IF(COUNTIF(HILFSTABELLEVORTEILE,2^(ROW(B59)-ROW(B$57)+0))&gt;0,VLOOKUP(2^(ROW(B59)-ROW(B$57)+0),HILFSTABELLEVORTEILE,2,FALSE),"")</f>
      </c>
      <c r="C59" s="128"/>
      <c r="D59" s="128"/>
      <c r="E59" s="128"/>
      <c r="F59" s="128"/>
      <c r="G59" s="128"/>
      <c r="H59" s="128"/>
      <c r="I59" s="128"/>
      <c r="J59" s="129"/>
      <c r="K59" s="5"/>
      <c r="L59" s="127">
        <f>IF(COUNTIF(HILFSTABELLEVORTEILE,2^(ROW(L59)-ROW(B$57)+5))&gt;0,VLOOKUP(2^(ROW(L59)-ROW(B$57)+5),HILFSTABELLEVORTEILE,2,FALSE),"")</f>
      </c>
      <c r="M59" s="128"/>
      <c r="N59" s="128"/>
      <c r="O59" s="128"/>
      <c r="P59" s="128"/>
      <c r="Q59" s="128"/>
      <c r="R59" s="128"/>
      <c r="S59" s="128"/>
      <c r="T59" s="129"/>
      <c r="U59" s="5"/>
      <c r="V59" s="265"/>
      <c r="X59" s="122"/>
      <c r="Y59" s="146" t="str">
        <f>VER</f>
        <v>Verstand</v>
      </c>
      <c r="Z59" s="147"/>
      <c r="AA59" s="147"/>
      <c r="AB59" s="147"/>
      <c r="AC59" s="147"/>
      <c r="AD59" s="147"/>
      <c r="AE59" s="147"/>
      <c r="AF59" s="148"/>
      <c r="AG59" s="298">
        <f ca="1" t="shared" si="3"/>
        <v>1</v>
      </c>
      <c r="AH59" s="299"/>
      <c r="AI59" s="122"/>
      <c r="AJ59" s="122"/>
      <c r="AK59" s="122"/>
      <c r="AL59" s="122"/>
      <c r="AM59" s="122"/>
      <c r="AN59" s="122"/>
      <c r="AO59" s="122"/>
      <c r="AP59" s="122"/>
      <c r="AQ59" s="122"/>
      <c r="AR59" s="122"/>
    </row>
    <row r="60" spans="1:44" ht="14.25" thickBot="1" thickTop="1">
      <c r="A60" s="267"/>
      <c r="B60" s="127">
        <f>IF(COUNTIF(HILFSTABELLEVORTEILE,2^(ROW(B60)-ROW(B$57)+0))&gt;0,VLOOKUP(2^(ROW(B60)-ROW(B$57)+0),HILFSTABELLEVORTEILE,2,FALSE),"")</f>
      </c>
      <c r="C60" s="128"/>
      <c r="D60" s="128"/>
      <c r="E60" s="128"/>
      <c r="F60" s="128"/>
      <c r="G60" s="128"/>
      <c r="H60" s="128"/>
      <c r="I60" s="128"/>
      <c r="J60" s="129"/>
      <c r="K60" s="5"/>
      <c r="L60" s="127">
        <f>IF(COUNTIF(HILFSTABELLEVORTEILE,2^(ROW(L60)-ROW(B$57)+5))&gt;0,VLOOKUP(2^(ROW(L60)-ROW(B$57)+5),HILFSTABELLEVORTEILE,2,FALSE),"")</f>
      </c>
      <c r="M60" s="128"/>
      <c r="N60" s="128"/>
      <c r="O60" s="128"/>
      <c r="P60" s="128"/>
      <c r="Q60" s="128"/>
      <c r="R60" s="128"/>
      <c r="S60" s="128"/>
      <c r="T60" s="129"/>
      <c r="U60" s="5"/>
      <c r="V60" s="265"/>
      <c r="X60" s="122"/>
      <c r="Y60" s="146" t="str">
        <f>WIL</f>
        <v>Willenskraft</v>
      </c>
      <c r="Z60" s="147"/>
      <c r="AA60" s="147"/>
      <c r="AB60" s="147"/>
      <c r="AC60" s="147"/>
      <c r="AD60" s="147"/>
      <c r="AE60" s="147"/>
      <c r="AF60" s="148"/>
      <c r="AG60" s="298">
        <f ca="1" t="shared" si="3"/>
        <v>1</v>
      </c>
      <c r="AH60" s="299"/>
      <c r="AI60" s="122"/>
      <c r="AJ60" s="122"/>
      <c r="AK60" s="122"/>
      <c r="AL60" s="122"/>
      <c r="AM60" s="122"/>
      <c r="AN60" s="122"/>
      <c r="AO60" s="122"/>
      <c r="AP60" s="122"/>
      <c r="AQ60" s="122"/>
      <c r="AR60" s="122"/>
    </row>
    <row r="61" spans="1:44" ht="14.25" thickBot="1" thickTop="1">
      <c r="A61" s="267"/>
      <c r="B61" s="127">
        <f>IF(COUNTIF(HILFSTABELLEVORTEILE,2^(ROW(B61)-ROW(B$57)+0))&gt;0,VLOOKUP(2^(ROW(B61)-ROW(B$57)+0),HILFSTABELLEVORTEILE,2,FALSE),"")</f>
      </c>
      <c r="C61" s="128"/>
      <c r="D61" s="128"/>
      <c r="E61" s="128"/>
      <c r="F61" s="128"/>
      <c r="G61" s="128"/>
      <c r="H61" s="128"/>
      <c r="I61" s="128"/>
      <c r="J61" s="129"/>
      <c r="K61" s="5"/>
      <c r="L61" s="127">
        <f>IF(COUNTIF(HILFSTABELLEVORTEILE,2^(ROW(L61)-ROW(B$57)+5))&gt;0,VLOOKUP(2^(ROW(L61)-ROW(B$57)+5),HILFSTABELLEVORTEILE,2,FALSE),"")</f>
      </c>
      <c r="M61" s="128"/>
      <c r="N61" s="128"/>
      <c r="O61" s="128"/>
      <c r="P61" s="128"/>
      <c r="Q61" s="128"/>
      <c r="R61" s="128"/>
      <c r="S61" s="128"/>
      <c r="T61" s="129"/>
      <c r="U61" s="5"/>
      <c r="V61" s="265"/>
      <c r="AJ61" s="122"/>
      <c r="AK61" s="122"/>
      <c r="AL61" s="122"/>
      <c r="AM61" s="122"/>
      <c r="AN61" s="122"/>
      <c r="AO61" s="122"/>
      <c r="AP61" s="122"/>
      <c r="AQ61" s="122"/>
      <c r="AR61" s="122"/>
    </row>
    <row r="62" spans="1:44" ht="14.25" thickBot="1" thickTop="1">
      <c r="A62" s="268"/>
      <c r="B62" s="269"/>
      <c r="C62" s="269"/>
      <c r="D62" s="269"/>
      <c r="E62" s="269"/>
      <c r="F62" s="269"/>
      <c r="G62" s="269"/>
      <c r="H62" s="269"/>
      <c r="I62" s="269"/>
      <c r="J62" s="269"/>
      <c r="K62" s="269"/>
      <c r="L62" s="269"/>
      <c r="M62" s="269"/>
      <c r="N62" s="269"/>
      <c r="O62" s="269"/>
      <c r="P62" s="269"/>
      <c r="Q62" s="269"/>
      <c r="R62" s="269"/>
      <c r="S62" s="269"/>
      <c r="T62" s="269"/>
      <c r="U62" s="269"/>
      <c r="V62" s="270"/>
      <c r="AJ62" s="122"/>
      <c r="AK62" s="122"/>
      <c r="AL62" s="122"/>
      <c r="AM62" s="122"/>
      <c r="AN62" s="122"/>
      <c r="AO62" s="122"/>
      <c r="AP62" s="122"/>
      <c r="AQ62" s="122"/>
      <c r="AR62" s="122"/>
    </row>
    <row r="63" spans="36:44" ht="16.5" thickBot="1" thickTop="1">
      <c r="AJ63" s="122"/>
      <c r="AK63" s="122"/>
      <c r="AL63" s="122"/>
      <c r="AM63" s="122"/>
      <c r="AN63" s="122"/>
      <c r="AO63" s="122"/>
      <c r="AP63" s="122"/>
      <c r="AQ63" s="122"/>
      <c r="AR63" s="122"/>
    </row>
    <row r="64" spans="1:44" ht="14.25" thickBot="1" thickTop="1">
      <c r="A64" s="213" t="s">
        <v>502</v>
      </c>
      <c r="B64" s="214"/>
      <c r="C64" s="214"/>
      <c r="D64" s="214"/>
      <c r="E64" s="214"/>
      <c r="F64" s="214"/>
      <c r="G64" s="214"/>
      <c r="H64" s="214"/>
      <c r="I64" s="214"/>
      <c r="J64" s="214"/>
      <c r="K64" s="214"/>
      <c r="L64" s="214"/>
      <c r="M64" s="215"/>
      <c r="N64" s="214"/>
      <c r="O64" s="214"/>
      <c r="P64" s="214"/>
      <c r="Q64" s="214"/>
      <c r="R64" s="214"/>
      <c r="S64" s="214"/>
      <c r="T64" s="214"/>
      <c r="U64" s="214"/>
      <c r="V64" s="216"/>
      <c r="AJ64" s="122"/>
      <c r="AK64" s="122"/>
      <c r="AL64" s="122"/>
      <c r="AM64" s="122"/>
      <c r="AN64" s="122"/>
      <c r="AO64" s="122"/>
      <c r="AP64" s="122"/>
      <c r="AQ64" s="122"/>
      <c r="AR64" s="122"/>
    </row>
    <row r="65" ht="15.75" thickTop="1"/>
  </sheetData>
  <sheetProtection sheet="1"/>
  <mergeCells count="90">
    <mergeCell ref="Q39:T39"/>
    <mergeCell ref="Q40:T40"/>
    <mergeCell ref="Q41:T41"/>
    <mergeCell ref="B34:H34"/>
    <mergeCell ref="B35:H35"/>
    <mergeCell ref="B36:H36"/>
    <mergeCell ref="B37:H37"/>
    <mergeCell ref="B39:H39"/>
    <mergeCell ref="B40:H40"/>
    <mergeCell ref="B41:H41"/>
    <mergeCell ref="I39:L39"/>
    <mergeCell ref="I40:L40"/>
    <mergeCell ref="I41:L41"/>
    <mergeCell ref="M41:P41"/>
    <mergeCell ref="M40:P40"/>
    <mergeCell ref="M39:P39"/>
    <mergeCell ref="R34:T34"/>
    <mergeCell ref="R35:T35"/>
    <mergeCell ref="R36:T36"/>
    <mergeCell ref="R37:T37"/>
    <mergeCell ref="O34:Q34"/>
    <mergeCell ref="O35:Q35"/>
    <mergeCell ref="O36:Q36"/>
    <mergeCell ref="O37:Q37"/>
    <mergeCell ref="I35:K35"/>
    <mergeCell ref="I36:K36"/>
    <mergeCell ref="I37:K37"/>
    <mergeCell ref="L34:N34"/>
    <mergeCell ref="L35:N35"/>
    <mergeCell ref="L36:N36"/>
    <mergeCell ref="L37:N37"/>
    <mergeCell ref="AG59:AH59"/>
    <mergeCell ref="I25:J25"/>
    <mergeCell ref="I26:J26"/>
    <mergeCell ref="I27:J27"/>
    <mergeCell ref="I28:J28"/>
    <mergeCell ref="AG56:AH56"/>
    <mergeCell ref="AG57:AH57"/>
    <mergeCell ref="AG28:AH28"/>
    <mergeCell ref="AG27:AH27"/>
    <mergeCell ref="I34:K34"/>
    <mergeCell ref="I29:J29"/>
    <mergeCell ref="K23:L23"/>
    <mergeCell ref="K24:L24"/>
    <mergeCell ref="K25:L25"/>
    <mergeCell ref="K26:L26"/>
    <mergeCell ref="K27:L27"/>
    <mergeCell ref="I23:J23"/>
    <mergeCell ref="I24:J24"/>
    <mergeCell ref="T23:U23"/>
    <mergeCell ref="T24:U24"/>
    <mergeCell ref="N14:R14"/>
    <mergeCell ref="N10:R10"/>
    <mergeCell ref="N11:R11"/>
    <mergeCell ref="N12:R12"/>
    <mergeCell ref="N13:R13"/>
    <mergeCell ref="V23:W23"/>
    <mergeCell ref="V24:W24"/>
    <mergeCell ref="V25:W25"/>
    <mergeCell ref="V27:W27"/>
    <mergeCell ref="AG23:AH23"/>
    <mergeCell ref="AG24:AH24"/>
    <mergeCell ref="AG25:AH25"/>
    <mergeCell ref="AG26:AH26"/>
    <mergeCell ref="AG55:AH55"/>
    <mergeCell ref="AG29:AH29"/>
    <mergeCell ref="V29:W29"/>
    <mergeCell ref="T25:U25"/>
    <mergeCell ref="AG30:AH30"/>
    <mergeCell ref="AG31:AH31"/>
    <mergeCell ref="AG32:AH32"/>
    <mergeCell ref="AG33:AH33"/>
    <mergeCell ref="AG34:AH34"/>
    <mergeCell ref="V28:W28"/>
    <mergeCell ref="AG37:AH37"/>
    <mergeCell ref="AG42:AH42"/>
    <mergeCell ref="AG43:AH43"/>
    <mergeCell ref="AG54:AH54"/>
    <mergeCell ref="AG53:AH53"/>
    <mergeCell ref="AG52:AH52"/>
    <mergeCell ref="AG60:AH60"/>
    <mergeCell ref="AG44:AH44"/>
    <mergeCell ref="AG40:AH40"/>
    <mergeCell ref="S5:T5"/>
    <mergeCell ref="AG35:AH35"/>
    <mergeCell ref="AG45:AH45"/>
    <mergeCell ref="AG38:AH38"/>
    <mergeCell ref="AG41:AH41"/>
    <mergeCell ref="AG58:AH58"/>
    <mergeCell ref="AG36:AH36"/>
  </mergeCells>
  <conditionalFormatting sqref="T10:AH14">
    <cfRule type="cellIs" priority="1" dxfId="24" operator="greaterThan" stopIfTrue="1">
      <formula>LEBENSPUNKTE</formula>
    </cfRule>
  </conditionalFormatting>
  <conditionalFormatting sqref="N16:AA18">
    <cfRule type="cellIs" priority="2" dxfId="24" operator="greaterThan" stopIfTrue="1">
      <formula>FOKUS</formula>
    </cfRule>
  </conditionalFormatting>
  <conditionalFormatting sqref="AC17:AH18">
    <cfRule type="cellIs" priority="3" dxfId="24" operator="greaterThan" stopIfTrue="1">
      <formula>SPLITTERPUNKTE</formula>
    </cfRule>
  </conditionalFormatting>
  <dataValidations count="1">
    <dataValidation allowBlank="1" showInputMessage="1" sqref="B57:B61 L46:L55 B46:B55 L57:L61"/>
  </dataValidations>
  <printOptions/>
  <pageMargins left="0.8" right="0.75" top="0.5905511811023623" bottom="0.5905511811023623" header="0.15748031496062992" footer="0.1968503937007874"/>
  <pageSetup fitToHeight="0" fitToWidth="1" horizontalDpi="600" verticalDpi="600" orientation="portrait" paperSize="9" scale="79" r:id="rId3"/>
  <headerFooter alignWithMargins="0">
    <oddHeader>&amp;L&amp;G&amp;R&amp;"Verdana,Standard"&amp;8Splittermond - Charakter-Generator (Beta) - v.1.1</oddHeader>
    <oddFooter>&amp;L&amp;"Verdana,Standard"&amp;8Marcus Renner - 18.06.2013</oddFooter>
  </headerFooter>
  <ignoredErrors>
    <ignoredError sqref="I39" numberStoredAsText="1"/>
  </ignoredErrors>
  <drawing r:id="rId1"/>
  <legacyDrawingHF r:id="rId2"/>
</worksheet>
</file>

<file path=xl/worksheets/sheet3.xml><?xml version="1.0" encoding="utf-8"?>
<worksheet xmlns="http://schemas.openxmlformats.org/spreadsheetml/2006/main" xmlns:r="http://schemas.openxmlformats.org/officeDocument/2006/relationships">
  <sheetPr>
    <tabColor indexed="43"/>
    <pageSetUpPr fitToPage="1"/>
  </sheetPr>
  <dimension ref="A1:AA55"/>
  <sheetViews>
    <sheetView showGridLines="0" zoomScale="115" zoomScaleNormal="115" zoomScalePageLayoutView="0" workbookViewId="0" topLeftCell="A1">
      <pane ySplit="5" topLeftCell="BM6" activePane="bottomLeft" state="frozen"/>
      <selection pane="topLeft" activeCell="A4" sqref="A4"/>
      <selection pane="bottomLeft" activeCell="A6" sqref="A6"/>
    </sheetView>
  </sheetViews>
  <sheetFormatPr defaultColWidth="11.421875" defaultRowHeight="12.75"/>
  <cols>
    <col min="1" max="1" width="3.28125" style="88" customWidth="1"/>
    <col min="2" max="2" width="18.57421875" style="88" customWidth="1"/>
    <col min="3" max="3" width="4.28125" style="88" customWidth="1"/>
    <col min="4" max="5" width="5.7109375" style="88" customWidth="1"/>
    <col min="6" max="6" width="7.140625" style="88" customWidth="1"/>
    <col min="7" max="8" width="4.7109375" style="88" customWidth="1"/>
    <col min="9" max="11" width="5.7109375" style="88" customWidth="1"/>
    <col min="12" max="13" width="4.7109375" style="88" customWidth="1"/>
    <col min="14" max="14" width="5.421875" style="88" customWidth="1"/>
    <col min="15" max="16" width="4.421875" style="88" customWidth="1"/>
    <col min="17" max="17" width="18.57421875" style="88" customWidth="1"/>
    <col min="18" max="18" width="4.28125" style="88" customWidth="1"/>
    <col min="19" max="20" width="6.00390625" style="88" customWidth="1"/>
    <col min="21" max="21" width="7.140625" style="88" customWidth="1"/>
    <col min="22" max="23" width="4.7109375" style="88" customWidth="1"/>
    <col min="24" max="24" width="4.28125" style="88" customWidth="1"/>
    <col min="25" max="25" width="3.28125" style="88" customWidth="1"/>
    <col min="26" max="26" width="2.8515625" style="88" customWidth="1"/>
    <col min="27" max="27" width="14.28125" style="88" customWidth="1"/>
    <col min="28" max="16384" width="11.421875" style="88" customWidth="1"/>
  </cols>
  <sheetData>
    <row r="1" spans="1:10" s="226" customFormat="1" ht="19.5">
      <c r="A1" s="225" t="s">
        <v>497</v>
      </c>
      <c r="B1" s="225"/>
      <c r="C1" s="225"/>
      <c r="D1" s="225"/>
      <c r="E1" s="225"/>
      <c r="F1" s="225"/>
      <c r="G1" s="225"/>
      <c r="H1" s="225"/>
      <c r="I1" s="225"/>
      <c r="J1" s="88"/>
    </row>
    <row r="2" spans="1:25" ht="13.5" thickBot="1">
      <c r="A2" s="89"/>
      <c r="B2" s="89"/>
      <c r="C2" s="89"/>
      <c r="D2" s="89"/>
      <c r="E2" s="89"/>
      <c r="F2" s="89"/>
      <c r="G2" s="89"/>
      <c r="H2" s="89"/>
      <c r="I2" s="89"/>
      <c r="J2" s="89"/>
      <c r="K2" s="89"/>
      <c r="L2" s="89"/>
      <c r="M2" s="89"/>
      <c r="N2" s="89"/>
      <c r="O2" s="89"/>
      <c r="P2" s="89"/>
      <c r="Q2" s="89"/>
      <c r="R2" s="89"/>
      <c r="S2" s="89"/>
      <c r="T2" s="89"/>
      <c r="U2" s="89"/>
      <c r="V2" s="89"/>
      <c r="W2" s="89"/>
      <c r="X2" s="89"/>
      <c r="Y2" s="89"/>
    </row>
    <row r="3" spans="1:25" ht="14.25" thickBot="1" thickTop="1">
      <c r="A3" s="89"/>
      <c r="B3" s="318" t="s">
        <v>330</v>
      </c>
      <c r="C3" s="318"/>
      <c r="D3" s="318"/>
      <c r="E3" s="318"/>
      <c r="F3" s="211">
        <f>H3-SUM(ATTRIBUTSUMME)</f>
        <v>11</v>
      </c>
      <c r="G3" s="133" t="s">
        <v>460</v>
      </c>
      <c r="H3" s="140">
        <f>ANZAHLATTRIBUTPUNKTE+U3+IF(RASSE="",0,IF(VLOOKUP(RASSE,RASSETABLEAU,2)=0,1,0))</f>
        <v>20</v>
      </c>
      <c r="I3" s="89"/>
      <c r="J3" s="89"/>
      <c r="K3" s="89"/>
      <c r="L3" s="133"/>
      <c r="M3" s="89"/>
      <c r="N3" s="89"/>
      <c r="O3" s="89"/>
      <c r="P3" s="89"/>
      <c r="Q3" s="89"/>
      <c r="R3" s="89"/>
      <c r="S3" s="89"/>
      <c r="T3" s="133" t="s">
        <v>382</v>
      </c>
      <c r="U3" s="227">
        <f>Hilfstabellen!B6+MIN(MANIPULATIONSTABELLE)</f>
        <v>0</v>
      </c>
      <c r="V3" s="89"/>
      <c r="W3" s="89"/>
      <c r="X3" s="89"/>
      <c r="Y3" s="89"/>
    </row>
    <row r="4" spans="1:25" ht="14.25" thickBot="1" thickTop="1">
      <c r="A4" s="89"/>
      <c r="B4" s="318" t="s">
        <v>342</v>
      </c>
      <c r="C4" s="318"/>
      <c r="D4" s="318"/>
      <c r="E4" s="318"/>
      <c r="F4" s="211">
        <f>H4-SUM(FERTIGKEITENSUMME)-SUM(VORTEILESUMMEKOSTEN)-SUM(MEISTERSCHAFTENSUMMEKOSTEN)+(COUNTIF(MEISTERGRADESUMMELINKS,MEISTERSCHAFTSYMBOL)+COUNTIF(MEISTERGRADESUMMERECHTS,MEISTERSCHAFTSYMBOL))*MEISTERSCHAFTPAUSCHALKOSTEN</f>
        <v>60</v>
      </c>
      <c r="G4" s="133" t="s">
        <v>460</v>
      </c>
      <c r="H4" s="140">
        <f>ANZAHLSTARTPUNKTE+U4</f>
        <v>60</v>
      </c>
      <c r="I4" s="89"/>
      <c r="J4" s="89"/>
      <c r="K4" s="89"/>
      <c r="L4" s="133"/>
      <c r="M4" s="89"/>
      <c r="N4" s="89"/>
      <c r="O4" s="89"/>
      <c r="P4" s="89"/>
      <c r="Q4" s="89"/>
      <c r="R4" s="89"/>
      <c r="S4" s="89"/>
      <c r="T4" s="134" t="s">
        <v>383</v>
      </c>
      <c r="U4" s="227">
        <f>Hilfstabellen!B7+MIN(MANIPULATIONSTABELLE)</f>
        <v>0</v>
      </c>
      <c r="V4" s="89"/>
      <c r="W4" s="89"/>
      <c r="X4" s="89"/>
      <c r="Y4" s="89"/>
    </row>
    <row r="5" spans="1:23" ht="14.25" thickBot="1" thickTop="1">
      <c r="A5" s="89"/>
      <c r="B5" s="89"/>
      <c r="C5" s="89"/>
      <c r="D5" s="89"/>
      <c r="E5" s="89"/>
      <c r="F5" s="89"/>
      <c r="G5" s="89"/>
      <c r="H5" s="89"/>
      <c r="I5" s="89"/>
      <c r="J5" s="89"/>
      <c r="K5" s="89"/>
      <c r="L5" s="89"/>
      <c r="M5" s="89"/>
      <c r="N5" s="89"/>
      <c r="O5" s="89"/>
      <c r="P5" s="89"/>
      <c r="Q5" s="89"/>
      <c r="R5" s="89"/>
      <c r="S5" s="89"/>
      <c r="T5" s="89"/>
      <c r="U5" s="89"/>
      <c r="V5" s="89"/>
      <c r="W5" s="89"/>
    </row>
    <row r="6" spans="1:25" ht="13.5" thickTop="1">
      <c r="A6" s="168"/>
      <c r="B6" s="169"/>
      <c r="C6" s="169"/>
      <c r="D6" s="169"/>
      <c r="E6" s="169"/>
      <c r="F6" s="169"/>
      <c r="G6" s="169"/>
      <c r="H6" s="169"/>
      <c r="I6" s="169"/>
      <c r="J6" s="169"/>
      <c r="K6" s="169"/>
      <c r="L6" s="169"/>
      <c r="M6" s="169"/>
      <c r="N6" s="169"/>
      <c r="O6" s="169"/>
      <c r="P6" s="169"/>
      <c r="Q6" s="169"/>
      <c r="R6" s="169"/>
      <c r="S6" s="169"/>
      <c r="T6" s="169"/>
      <c r="U6" s="169"/>
      <c r="V6" s="169"/>
      <c r="W6" s="169"/>
      <c r="X6" s="169"/>
      <c r="Y6" s="170"/>
    </row>
    <row r="7" spans="1:25" ht="15">
      <c r="A7" s="171"/>
      <c r="B7" s="149" t="s">
        <v>191</v>
      </c>
      <c r="C7" s="149"/>
      <c r="D7" s="149"/>
      <c r="E7" s="149"/>
      <c r="F7" s="149"/>
      <c r="G7" s="149"/>
      <c r="H7" s="149"/>
      <c r="I7" s="149"/>
      <c r="J7" s="149"/>
      <c r="K7" s="149"/>
      <c r="L7" s="149"/>
      <c r="M7" s="149"/>
      <c r="N7" s="89"/>
      <c r="O7" s="89"/>
      <c r="P7" s="89"/>
      <c r="Q7" s="89"/>
      <c r="R7" s="89"/>
      <c r="S7" s="89"/>
      <c r="T7" s="89"/>
      <c r="U7" s="89"/>
      <c r="V7" s="89"/>
      <c r="W7" s="89"/>
      <c r="X7" s="89"/>
      <c r="Y7" s="173"/>
    </row>
    <row r="8" spans="1:25" ht="12.75">
      <c r="A8" s="171"/>
      <c r="B8" s="89"/>
      <c r="C8" s="91" t="s">
        <v>192</v>
      </c>
      <c r="D8" s="89"/>
      <c r="E8" s="89"/>
      <c r="F8" s="313"/>
      <c r="G8" s="313"/>
      <c r="H8" s="313"/>
      <c r="I8" s="313"/>
      <c r="J8" s="313"/>
      <c r="K8" s="313"/>
      <c r="L8" s="89"/>
      <c r="M8" s="89"/>
      <c r="N8" s="89"/>
      <c r="O8" s="89"/>
      <c r="P8" s="90"/>
      <c r="Q8" s="89"/>
      <c r="R8" s="91" t="s">
        <v>193</v>
      </c>
      <c r="S8" s="308"/>
      <c r="T8" s="309"/>
      <c r="U8" s="309"/>
      <c r="V8" s="309"/>
      <c r="W8" s="309"/>
      <c r="X8" s="310"/>
      <c r="Y8" s="173"/>
    </row>
    <row r="9" spans="1:25" ht="12.75">
      <c r="A9" s="171"/>
      <c r="B9" s="89"/>
      <c r="C9" s="91" t="s">
        <v>185</v>
      </c>
      <c r="D9" s="89"/>
      <c r="E9" s="89"/>
      <c r="F9" s="313"/>
      <c r="G9" s="313"/>
      <c r="H9" s="313"/>
      <c r="I9" s="313"/>
      <c r="J9" s="313"/>
      <c r="K9" s="313"/>
      <c r="L9" s="89"/>
      <c r="M9" s="89"/>
      <c r="N9" s="89"/>
      <c r="O9" s="89"/>
      <c r="P9" s="90"/>
      <c r="Q9" s="89"/>
      <c r="R9" s="91" t="s">
        <v>194</v>
      </c>
      <c r="S9" s="308"/>
      <c r="T9" s="309"/>
      <c r="U9" s="309"/>
      <c r="V9" s="309"/>
      <c r="W9" s="309"/>
      <c r="X9" s="310"/>
      <c r="Y9" s="173"/>
    </row>
    <row r="10" spans="1:26" ht="12.75">
      <c r="A10" s="171"/>
      <c r="B10" s="89"/>
      <c r="C10" s="91" t="s">
        <v>509</v>
      </c>
      <c r="D10" s="89"/>
      <c r="E10" s="89"/>
      <c r="F10" s="313"/>
      <c r="G10" s="313"/>
      <c r="H10" s="313"/>
      <c r="I10" s="313"/>
      <c r="J10" s="313"/>
      <c r="K10" s="313"/>
      <c r="L10" s="89"/>
      <c r="M10" s="89"/>
      <c r="N10" s="89"/>
      <c r="O10" s="89"/>
      <c r="P10" s="90"/>
      <c r="Q10" s="89"/>
      <c r="R10" s="91" t="s">
        <v>253</v>
      </c>
      <c r="S10" s="313"/>
      <c r="T10" s="313"/>
      <c r="U10" s="313"/>
      <c r="V10" s="313"/>
      <c r="W10" s="313"/>
      <c r="X10" s="313"/>
      <c r="Y10" s="173"/>
      <c r="Z10" s="89"/>
    </row>
    <row r="11" spans="1:25" ht="13.5" thickBot="1">
      <c r="A11" s="175"/>
      <c r="B11" s="176"/>
      <c r="C11" s="176"/>
      <c r="D11" s="176"/>
      <c r="E11" s="176"/>
      <c r="F11" s="176"/>
      <c r="G11" s="176"/>
      <c r="H11" s="176"/>
      <c r="I11" s="176"/>
      <c r="J11" s="176"/>
      <c r="K11" s="176"/>
      <c r="L11" s="176"/>
      <c r="M11" s="176"/>
      <c r="N11" s="176"/>
      <c r="O11" s="176"/>
      <c r="P11" s="176"/>
      <c r="Q11" s="176"/>
      <c r="R11" s="176"/>
      <c r="S11" s="176"/>
      <c r="T11" s="176"/>
      <c r="U11" s="176"/>
      <c r="V11" s="176"/>
      <c r="W11" s="176"/>
      <c r="X11" s="176"/>
      <c r="Y11" s="177"/>
    </row>
    <row r="12" ht="14.25" thickBot="1" thickTop="1"/>
    <row r="13" spans="1:25" ht="13.5" thickTop="1">
      <c r="A13" s="168"/>
      <c r="B13" s="169"/>
      <c r="C13" s="169"/>
      <c r="D13" s="169"/>
      <c r="E13" s="169"/>
      <c r="F13" s="169"/>
      <c r="G13" s="169"/>
      <c r="H13" s="169"/>
      <c r="I13" s="169"/>
      <c r="J13" s="169"/>
      <c r="K13" s="169"/>
      <c r="L13" s="169"/>
      <c r="M13" s="169"/>
      <c r="N13" s="170"/>
      <c r="P13" s="168"/>
      <c r="Q13" s="169"/>
      <c r="R13" s="169"/>
      <c r="S13" s="169"/>
      <c r="T13" s="169"/>
      <c r="U13" s="169"/>
      <c r="V13" s="169"/>
      <c r="W13" s="169"/>
      <c r="X13" s="169"/>
      <c r="Y13" s="170"/>
    </row>
    <row r="14" spans="1:27" ht="15">
      <c r="A14" s="171"/>
      <c r="B14" s="149" t="s">
        <v>139</v>
      </c>
      <c r="C14" s="149"/>
      <c r="D14" s="149"/>
      <c r="E14" s="149"/>
      <c r="F14" s="149"/>
      <c r="G14" s="149"/>
      <c r="H14" s="149"/>
      <c r="I14" s="149"/>
      <c r="J14" s="149"/>
      <c r="K14" s="149"/>
      <c r="L14" s="149"/>
      <c r="M14" s="172"/>
      <c r="N14" s="173"/>
      <c r="O14" s="89"/>
      <c r="P14" s="171"/>
      <c r="Q14" s="149" t="s">
        <v>140</v>
      </c>
      <c r="R14" s="149"/>
      <c r="S14" s="149"/>
      <c r="T14" s="149"/>
      <c r="U14" s="149"/>
      <c r="V14" s="149"/>
      <c r="W14" s="149"/>
      <c r="X14" s="149"/>
      <c r="Y14" s="181"/>
      <c r="Z14" s="89"/>
      <c r="AA14" s="89"/>
    </row>
    <row r="15" spans="1:27" ht="15">
      <c r="A15" s="171"/>
      <c r="B15" s="316" t="str">
        <f>AUS</f>
        <v>Ausstrahlung</v>
      </c>
      <c r="C15" s="317"/>
      <c r="D15" s="92"/>
      <c r="E15" s="186"/>
      <c r="F15" s="161">
        <v>1</v>
      </c>
      <c r="G15" s="228">
        <f aca="true" t="shared" si="0" ref="G15:G23">IF(OR(B15=RASSE,F15=TRUE),D15,0)</f>
        <v>0</v>
      </c>
      <c r="H15" s="93">
        <f aca="true" t="shared" si="1" ref="H15:H23">F15+IF(RASSE="",0,B15=VLOOKUP(RASSE,RASSETABLEAU,2))</f>
        <v>1</v>
      </c>
      <c r="I15" s="89"/>
      <c r="J15" s="89"/>
      <c r="K15" s="89"/>
      <c r="L15" s="89"/>
      <c r="M15" s="89"/>
      <c r="N15" s="173"/>
      <c r="O15" s="89"/>
      <c r="P15" s="171"/>
      <c r="Q15" s="94"/>
      <c r="R15" s="186" t="str">
        <f>GRÖ</f>
        <v>Größe</v>
      </c>
      <c r="S15" s="193" t="str">
        <f>IF(VLOOKUP(R15,EIGENSCHAFTTABLEAU,COLUMN(Eigenschaften!$F$3))="","",CONCATENATE(IF(VLOOKUP(R15,EIGENSCHAFTTABLEAU,COLUMN(Eigenschaften!$G$3))&lt;2,"",CONCATENATE(VLOOKUP(R15,EIGENSCHAFTTABLEAU,COLUMN(Eigenschaften!$G$3)),MALSYMBOL)),VLOOKUP(R15,EIGENSCHAFTTABLEAU,COLUMN(Eigenschaften!$F$3))," ",VLOOKUP(R15,EIGENSCHAFTTABLEAU,COLUMN(Eigenschaften!$H$3))))</f>
        <v>RAS 0</v>
      </c>
      <c r="T15" s="194">
        <f>IF(VLOOKUP(R15,EIGENSCHAFTTABLEAU,COLUMN(Eigenschaften!$I$3))="","",CONCATENATE(IF(VLOOKUP(R15,EIGENSCHAFTTABLEAU,COLUMN(Eigenschaften!$J$3))&lt;2,"",CONCATENATE(VLOOKUP(R15,EIGENSCHAFTTABLEAU,COLUMN(Eigenschaften!$J$3)),MALSYMBOL)),VLOOKUP(R15,EIGENSCHAFTTABLEAU,COLUMN(Eigenschaften!$I$3))," ",VLOOKUP(R15,EIGENSCHAFTTABLEAU,COLUMN(Eigenschaften!$K$3))))</f>
      </c>
      <c r="U15" s="199">
        <f>BASISGRÖßE</f>
        <v>5</v>
      </c>
      <c r="V15" s="229">
        <f>VLOOKUP(R15,EIGENSCHAFTTABLEAU,COLUMN(Eigenschaften!$M$3))+SUMIF(HILFSTABELLEMANIPULATION,R15,HILFSTABELLEMANIPULATIONSWERT)</f>
        <v>0</v>
      </c>
      <c r="W15" s="93">
        <f>U15+V15+VLOOKUP(R15,EIGENSCHAFTTABLEAU,COLUMN(Eigenschaften!$L$3))</f>
        <v>5</v>
      </c>
      <c r="X15" s="230"/>
      <c r="Y15" s="181"/>
      <c r="Z15" s="89"/>
      <c r="AA15" s="89"/>
    </row>
    <row r="16" spans="1:27" ht="15">
      <c r="A16" s="171"/>
      <c r="B16" s="311" t="str">
        <f>BEW</f>
        <v>Beweglichkeit</v>
      </c>
      <c r="C16" s="312"/>
      <c r="D16" s="96"/>
      <c r="E16" s="187"/>
      <c r="F16" s="162">
        <v>1</v>
      </c>
      <c r="G16" s="231">
        <f t="shared" si="0"/>
        <v>0</v>
      </c>
      <c r="H16" s="97">
        <f t="shared" si="1"/>
        <v>1</v>
      </c>
      <c r="I16" s="89"/>
      <c r="J16" s="89"/>
      <c r="K16" s="89"/>
      <c r="L16" s="89"/>
      <c r="M16" s="89"/>
      <c r="N16" s="173"/>
      <c r="O16" s="89"/>
      <c r="P16" s="171"/>
      <c r="Q16" s="98"/>
      <c r="R16" s="187" t="str">
        <f>GSW</f>
        <v>Geschwindigkeit</v>
      </c>
      <c r="S16" s="197" t="str">
        <f>IF(VLOOKUP(R16,EIGENSCHAFTTABLEAU,COLUMN(Eigenschaften!$F$3))="","",CONCATENATE(IF(VLOOKUP(R16,EIGENSCHAFTTABLEAU,COLUMN(Eigenschaften!$G$3))&lt;2,"",CONCATENATE(VLOOKUP(R16,EIGENSCHAFTTABLEAU,COLUMN(Eigenschaften!$G$3)),MALSYMBOL)),VLOOKUP(R16,EIGENSCHAFTTABLEAU,COLUMN(Eigenschaften!$F$3))," ",VLOOKUP(R16,EIGENSCHAFTTABLEAU,COLUMN(Eigenschaften!$H$3))))</f>
        <v>GRÖ 5</v>
      </c>
      <c r="T16" s="198" t="str">
        <f>IF(VLOOKUP(R16,EIGENSCHAFTTABLEAU,COLUMN(Eigenschaften!$I$3))="","",CONCATENATE(IF(VLOOKUP(R16,EIGENSCHAFTTABLEAU,COLUMN(Eigenschaften!$J$3))&lt;2,"",CONCATENATE(VLOOKUP(R16,EIGENSCHAFTTABLEAU,COLUMN(Eigenschaften!$J$3)),MALSYMBOL)),VLOOKUP(R16,EIGENSCHAFTTABLEAU,COLUMN(Eigenschaften!$I$3))," ",VLOOKUP(R16,EIGENSCHAFTTABLEAU,COLUMN(Eigenschaften!$K$3))))</f>
        <v>2·BEW 2</v>
      </c>
      <c r="U16" s="200"/>
      <c r="V16" s="232">
        <f>VLOOKUP(R16,EIGENSCHAFTTABLEAU,COLUMN(Eigenschaften!$M$3))+SUMIF(HILFSTABELLEMANIPULATION,R16,HILFSTABELLEMANIPULATIONSWERT)</f>
        <v>0</v>
      </c>
      <c r="W16" s="97">
        <f>U16+V16+VLOOKUP(R16,EIGENSCHAFTTABLEAU,COLUMN(Eigenschaften!$L$3))</f>
        <v>7</v>
      </c>
      <c r="X16" s="166"/>
      <c r="Y16" s="181"/>
      <c r="Z16" s="89"/>
      <c r="AA16" s="89"/>
    </row>
    <row r="17" spans="1:27" ht="15">
      <c r="A17" s="171"/>
      <c r="B17" s="311" t="str">
        <f>GES</f>
        <v>Geschicklichkeit</v>
      </c>
      <c r="C17" s="312"/>
      <c r="D17" s="96"/>
      <c r="E17" s="187"/>
      <c r="F17" s="162">
        <v>1</v>
      </c>
      <c r="G17" s="231">
        <f t="shared" si="0"/>
        <v>0</v>
      </c>
      <c r="H17" s="97">
        <f t="shared" si="1"/>
        <v>1</v>
      </c>
      <c r="I17" s="89"/>
      <c r="J17" s="89"/>
      <c r="K17" s="89"/>
      <c r="L17" s="89"/>
      <c r="M17" s="89"/>
      <c r="N17" s="173"/>
      <c r="O17" s="89"/>
      <c r="P17" s="171"/>
      <c r="Q17" s="98"/>
      <c r="R17" s="187" t="str">
        <f>LEB</f>
        <v>Lebenspunkte</v>
      </c>
      <c r="S17" s="197" t="str">
        <f>IF(VLOOKUP(R17,EIGENSCHAFTTABLEAU,COLUMN(Eigenschaften!$F$3))="","",CONCATENATE(IF(VLOOKUP(R17,EIGENSCHAFTTABLEAU,COLUMN(Eigenschaften!$G$3))&lt;2,"",CONCATENATE(VLOOKUP(R17,EIGENSCHAFTTABLEAU,COLUMN(Eigenschaften!$G$3)),MALSYMBOL)),VLOOKUP(R17,EIGENSCHAFTTABLEAU,COLUMN(Eigenschaften!$F$3))," ",VLOOKUP(R17,EIGENSCHAFTTABLEAU,COLUMN(Eigenschaften!$H$3))))</f>
        <v>GRÖ 5</v>
      </c>
      <c r="T17" s="198" t="str">
        <f>IF(VLOOKUP(R17,EIGENSCHAFTTABLEAU,COLUMN(Eigenschaften!$I$3))="","",CONCATENATE(IF(VLOOKUP(R17,EIGENSCHAFTTABLEAU,COLUMN(Eigenschaften!$J$3))&lt;2,"",CONCATENATE(VLOOKUP(R17,EIGENSCHAFTTABLEAU,COLUMN(Eigenschaften!$J$3)),MALSYMBOL)),VLOOKUP(R17,EIGENSCHAFTTABLEAU,COLUMN(Eigenschaften!$I$3))," ",VLOOKUP(R17,EIGENSCHAFTTABLEAU,COLUMN(Eigenschaften!$K$3))))</f>
        <v>KON 1</v>
      </c>
      <c r="U17" s="200"/>
      <c r="V17" s="232">
        <f>VLOOKUP(R17,EIGENSCHAFTTABLEAU,COLUMN(Eigenschaften!$M$3))+SUMIF(HILFSTABELLEMANIPULATION,R17,HILFSTABELLEMANIPULATIONSWERT)</f>
        <v>0</v>
      </c>
      <c r="W17" s="97">
        <f>U17+V17+VLOOKUP(R17,EIGENSCHAFTTABLEAU,COLUMN(Eigenschaften!$L$3))</f>
        <v>6</v>
      </c>
      <c r="X17" s="166"/>
      <c r="Y17" s="181"/>
      <c r="Z17" s="89"/>
      <c r="AA17" s="89"/>
    </row>
    <row r="18" spans="1:27" ht="15">
      <c r="A18" s="171"/>
      <c r="B18" s="311" t="str">
        <f>INT</f>
        <v>Intuition</v>
      </c>
      <c r="C18" s="312"/>
      <c r="D18" s="96"/>
      <c r="E18" s="187"/>
      <c r="F18" s="162">
        <v>1</v>
      </c>
      <c r="G18" s="231">
        <f t="shared" si="0"/>
        <v>0</v>
      </c>
      <c r="H18" s="97">
        <f t="shared" si="1"/>
        <v>1</v>
      </c>
      <c r="I18" s="89"/>
      <c r="J18" s="89"/>
      <c r="K18" s="89"/>
      <c r="L18" s="89"/>
      <c r="M18" s="89"/>
      <c r="N18" s="173"/>
      <c r="O18" s="89"/>
      <c r="P18" s="171"/>
      <c r="Q18" s="98"/>
      <c r="R18" s="187" t="str">
        <f>FOK</f>
        <v>Fokus</v>
      </c>
      <c r="S18" s="197" t="str">
        <f>IF(VLOOKUP(R18,EIGENSCHAFTTABLEAU,COLUMN(Eigenschaften!$F$3))="","",CONCATENATE(IF(VLOOKUP(R18,EIGENSCHAFTTABLEAU,COLUMN(Eigenschaften!$G$3))&lt;2,"",CONCATENATE(VLOOKUP(R18,EIGENSCHAFTTABLEAU,COLUMN(Eigenschaften!$G$3)),MALSYMBOL)),VLOOKUP(R18,EIGENSCHAFTTABLEAU,COLUMN(Eigenschaften!$F$3))," ",VLOOKUP(R18,EIGENSCHAFTTABLEAU,COLUMN(Eigenschaften!$H$3))))</f>
        <v>2·MYS 2</v>
      </c>
      <c r="T18" s="198" t="str">
        <f>IF(VLOOKUP(R18,EIGENSCHAFTTABLEAU,COLUMN(Eigenschaften!$I$3))="","",CONCATENATE(IF(VLOOKUP(R18,EIGENSCHAFTTABLEAU,COLUMN(Eigenschaften!$J$3))&lt;2,"",CONCATENATE(VLOOKUP(R18,EIGENSCHAFTTABLEAU,COLUMN(Eigenschaften!$J$3)),MALSYMBOL)),VLOOKUP(R18,EIGENSCHAFTTABLEAU,COLUMN(Eigenschaften!$I$3))," ",VLOOKUP(R18,EIGENSCHAFTTABLEAU,COLUMN(Eigenschaften!$K$3))))</f>
        <v>2·WIL 2</v>
      </c>
      <c r="U18" s="200"/>
      <c r="V18" s="232">
        <f>VLOOKUP(R18,EIGENSCHAFTTABLEAU,COLUMN(Eigenschaften!$M$3))+SUMIF(HILFSTABELLEMANIPULATION,R18,HILFSTABELLEMANIPULATIONSWERT)</f>
        <v>0</v>
      </c>
      <c r="W18" s="97">
        <f>U18+V18+VLOOKUP(R18,EIGENSCHAFTTABLEAU,COLUMN(Eigenschaften!$L$3))</f>
        <v>4</v>
      </c>
      <c r="X18" s="166"/>
      <c r="Y18" s="181"/>
      <c r="Z18" s="89"/>
      <c r="AA18" s="89"/>
    </row>
    <row r="19" spans="1:27" ht="15">
      <c r="A19" s="171"/>
      <c r="B19" s="311" t="str">
        <f>KON</f>
        <v>Konstitution</v>
      </c>
      <c r="C19" s="312"/>
      <c r="D19" s="96"/>
      <c r="E19" s="187"/>
      <c r="F19" s="162">
        <v>1</v>
      </c>
      <c r="G19" s="231">
        <f t="shared" si="0"/>
        <v>0</v>
      </c>
      <c r="H19" s="97">
        <f t="shared" si="1"/>
        <v>1</v>
      </c>
      <c r="I19" s="89"/>
      <c r="J19" s="89"/>
      <c r="K19" s="89"/>
      <c r="L19" s="89"/>
      <c r="M19" s="89"/>
      <c r="N19" s="173"/>
      <c r="O19" s="89"/>
      <c r="P19" s="171"/>
      <c r="Q19" s="99"/>
      <c r="R19" s="188" t="str">
        <f>SPL</f>
        <v>Splitterpunkte</v>
      </c>
      <c r="S19" s="195">
        <f>IF(VLOOKUP(R19,EIGENSCHAFTTABLEAU,COLUMN(Eigenschaften!$F$3))="","",CONCATENATE(IF(VLOOKUP(R19,EIGENSCHAFTTABLEAU,COLUMN(Eigenschaften!$G$3))&lt;2,"",CONCATENATE(VLOOKUP(R19,EIGENSCHAFTTABLEAU,COLUMN(Eigenschaften!$G$3)),MALSYMBOL)),VLOOKUP(R19,EIGENSCHAFTTABLEAU,COLUMN(Eigenschaften!$F$3))," ",VLOOKUP(R19,EIGENSCHAFTTABLEAU,COLUMN(Eigenschaften!$H$3))))</f>
      </c>
      <c r="T19" s="196">
        <f>IF(VLOOKUP(R19,EIGENSCHAFTTABLEAU,COLUMN(Eigenschaften!$I$3))="","",CONCATENATE(IF(VLOOKUP(R19,EIGENSCHAFTTABLEAU,COLUMN(Eigenschaften!$J$3))&lt;2,"",CONCATENATE(VLOOKUP(R19,EIGENSCHAFTTABLEAU,COLUMN(Eigenschaften!$J$3)),MALSYMBOL)),VLOOKUP(R19,EIGENSCHAFTTABLEAU,COLUMN(Eigenschaften!$I$3))," ",VLOOKUP(R19,EIGENSCHAFTTABLEAU,COLUMN(Eigenschaften!$K$3))))</f>
      </c>
      <c r="U19" s="201">
        <f>FIXSPLITTER</f>
        <v>3</v>
      </c>
      <c r="V19" s="233">
        <f>VLOOKUP(R19,EIGENSCHAFTTABLEAU,COLUMN(Eigenschaften!$M$3))+SUMIF(HILFSTABELLEMANIPULATION,R19,HILFSTABELLEMANIPULATIONSWERT)</f>
        <v>0</v>
      </c>
      <c r="W19" s="101">
        <f>U19+V19+VLOOKUP(R19,EIGENSCHAFTTABLEAU,COLUMN(Eigenschaften!$L$3))</f>
        <v>3</v>
      </c>
      <c r="X19" s="167"/>
      <c r="Y19" s="181"/>
      <c r="Z19" s="89"/>
      <c r="AA19" s="89"/>
    </row>
    <row r="20" spans="1:27" ht="15">
      <c r="A20" s="171"/>
      <c r="B20" s="311" t="str">
        <f>MYS</f>
        <v>Mystik</v>
      </c>
      <c r="C20" s="312"/>
      <c r="D20" s="96"/>
      <c r="E20" s="187"/>
      <c r="F20" s="162">
        <v>1</v>
      </c>
      <c r="G20" s="231">
        <f t="shared" si="0"/>
        <v>0</v>
      </c>
      <c r="H20" s="97">
        <f t="shared" si="1"/>
        <v>1</v>
      </c>
      <c r="I20" s="89"/>
      <c r="J20" s="89"/>
      <c r="K20" s="89"/>
      <c r="L20" s="89"/>
      <c r="M20" s="89"/>
      <c r="N20" s="173"/>
      <c r="O20" s="89"/>
      <c r="P20" s="171"/>
      <c r="Q20" s="89"/>
      <c r="R20" s="89"/>
      <c r="S20" s="89"/>
      <c r="T20" s="89"/>
      <c r="U20" s="89"/>
      <c r="V20" s="89"/>
      <c r="W20" s="89"/>
      <c r="X20" s="140"/>
      <c r="Y20" s="181"/>
      <c r="Z20" s="89"/>
      <c r="AA20" s="89"/>
    </row>
    <row r="21" spans="1:27" ht="15">
      <c r="A21" s="171"/>
      <c r="B21" s="311" t="str">
        <f>STÄ</f>
        <v>Stärke</v>
      </c>
      <c r="C21" s="312"/>
      <c r="D21" s="96"/>
      <c r="E21" s="187"/>
      <c r="F21" s="162">
        <v>1</v>
      </c>
      <c r="G21" s="231">
        <f t="shared" si="0"/>
        <v>0</v>
      </c>
      <c r="H21" s="97">
        <f t="shared" si="1"/>
        <v>1</v>
      </c>
      <c r="I21" s="89"/>
      <c r="J21" s="89"/>
      <c r="K21" s="89"/>
      <c r="L21" s="89"/>
      <c r="M21" s="89"/>
      <c r="N21" s="173"/>
      <c r="O21" s="89"/>
      <c r="P21" s="171"/>
      <c r="Q21" s="94"/>
      <c r="R21" s="186" t="str">
        <f>VTD</f>
        <v>Verteidigung</v>
      </c>
      <c r="S21" s="193" t="str">
        <f>IF(VLOOKUP(R21,EIGENSCHAFTTABLEAU,COLUMN(Eigenschaften!$F$3))="","",CONCATENATE(IF(VLOOKUP(R21,EIGENSCHAFTTABLEAU,COLUMN(Eigenschaften!$G$3))&lt;2,"",CONCATENATE(VLOOKUP(R21,EIGENSCHAFTTABLEAU,COLUMN(Eigenschaften!$G$3)),MALSYMBOL)),VLOOKUP(R21,EIGENSCHAFTTABLEAU,COLUMN(Eigenschaften!$F$3))," ",VLOOKUP(R21,EIGENSCHAFTTABLEAU,COLUMN(Eigenschaften!$H$3))))</f>
        <v>2·BEW 2</v>
      </c>
      <c r="T21" s="194" t="str">
        <f>IF(VLOOKUP(R21,EIGENSCHAFTTABLEAU,COLUMN(Eigenschaften!$I$3))="","",CONCATENATE(IF(VLOOKUP(R21,EIGENSCHAFTTABLEAU,COLUMN(Eigenschaften!$J$3))&lt;2,"",CONCATENATE(VLOOKUP(R21,EIGENSCHAFTTABLEAU,COLUMN(Eigenschaften!$J$3)),MALSYMBOL)),VLOOKUP(R21,EIGENSCHAFTTABLEAU,COLUMN(Eigenschaften!$I$3))," ",VLOOKUP(R21,EIGENSCHAFTTABLEAU,COLUMN(Eigenschaften!$K$3))))</f>
        <v>RAS 0</v>
      </c>
      <c r="U21" s="199">
        <f>FIXVERTEIDIGUNG</f>
        <v>12</v>
      </c>
      <c r="V21" s="229">
        <f>VLOOKUP(R21,EIGENSCHAFTTABLEAU,COLUMN(Eigenschaften!$M$3))+SUMIF(HILFSTABELLEMANIPULATION,R21,HILFSTABELLEMANIPULATIONSWERT)</f>
        <v>0</v>
      </c>
      <c r="W21" s="102">
        <f>U21+V21+VLOOKUP(R21,EIGENSCHAFTTABLEAU,COLUMN(Eigenschaften!$L$3))</f>
        <v>14</v>
      </c>
      <c r="X21" s="165"/>
      <c r="Y21" s="181"/>
      <c r="Z21" s="89"/>
      <c r="AA21" s="89"/>
    </row>
    <row r="22" spans="1:27" ht="15">
      <c r="A22" s="171"/>
      <c r="B22" s="311" t="str">
        <f>VER</f>
        <v>Verstand</v>
      </c>
      <c r="C22" s="312"/>
      <c r="D22" s="96"/>
      <c r="E22" s="187"/>
      <c r="F22" s="162">
        <v>1</v>
      </c>
      <c r="G22" s="231">
        <f t="shared" si="0"/>
        <v>0</v>
      </c>
      <c r="H22" s="97">
        <f t="shared" si="1"/>
        <v>1</v>
      </c>
      <c r="I22" s="89"/>
      <c r="J22" s="89"/>
      <c r="K22" s="89"/>
      <c r="L22" s="89"/>
      <c r="M22" s="89"/>
      <c r="N22" s="173"/>
      <c r="O22" s="89"/>
      <c r="P22" s="171"/>
      <c r="Q22" s="98"/>
      <c r="R22" s="187" t="str">
        <f>KWI</f>
        <v>Körperlicher Widerstand</v>
      </c>
      <c r="S22" s="197" t="str">
        <f>IF(VLOOKUP(R22,EIGENSCHAFTTABLEAU,COLUMN(Eigenschaften!$F$3))="","",CONCATENATE(IF(VLOOKUP(R22,EIGENSCHAFTTABLEAU,COLUMN(Eigenschaften!$G$3))&lt;2,"",CONCATENATE(VLOOKUP(R22,EIGENSCHAFTTABLEAU,COLUMN(Eigenschaften!$G$3)),MALSYMBOL)),VLOOKUP(R22,EIGENSCHAFTTABLEAU,COLUMN(Eigenschaften!$F$3))," ",VLOOKUP(R22,EIGENSCHAFTTABLEAU,COLUMN(Eigenschaften!$H$3))))</f>
        <v>2·KON 2</v>
      </c>
      <c r="T22" s="198">
        <f>IF(VLOOKUP(R22,EIGENSCHAFTTABLEAU,COLUMN(Eigenschaften!$I$3))="","",CONCATENATE(IF(VLOOKUP(R22,EIGENSCHAFTTABLEAU,COLUMN(Eigenschaften!$J$3))&lt;2,"",CONCATENATE(VLOOKUP(R22,EIGENSCHAFTTABLEAU,COLUMN(Eigenschaften!$J$3)),MALSYMBOL)),VLOOKUP(R22,EIGENSCHAFTTABLEAU,COLUMN(Eigenschaften!$I$3))," ",VLOOKUP(R22,EIGENSCHAFTTABLEAU,COLUMN(Eigenschaften!$K$3))))</f>
      </c>
      <c r="U22" s="200">
        <f>FIXKÖRPERWIDER</f>
        <v>12</v>
      </c>
      <c r="V22" s="232">
        <f>VLOOKUP(R22,EIGENSCHAFTTABLEAU,COLUMN(Eigenschaften!$M$3))+SUMIF(HILFSTABELLEMANIPULATION,R22,HILFSTABELLEMANIPULATIONSWERT)</f>
        <v>0</v>
      </c>
      <c r="W22" s="103">
        <f>U22+V22+VLOOKUP(R22,EIGENSCHAFTTABLEAU,COLUMN(Eigenschaften!$L$3))</f>
        <v>14</v>
      </c>
      <c r="X22" s="166"/>
      <c r="Y22" s="181"/>
      <c r="Z22" s="89"/>
      <c r="AA22" s="89"/>
    </row>
    <row r="23" spans="1:27" ht="15">
      <c r="A23" s="171"/>
      <c r="B23" s="314" t="str">
        <f>WIL</f>
        <v>Willenskraft</v>
      </c>
      <c r="C23" s="315"/>
      <c r="D23" s="100"/>
      <c r="E23" s="188"/>
      <c r="F23" s="163">
        <v>1</v>
      </c>
      <c r="G23" s="234">
        <f t="shared" si="0"/>
        <v>0</v>
      </c>
      <c r="H23" s="101">
        <f t="shared" si="1"/>
        <v>1</v>
      </c>
      <c r="I23" s="89"/>
      <c r="J23" s="89"/>
      <c r="K23" s="89"/>
      <c r="L23" s="89"/>
      <c r="M23" s="89"/>
      <c r="N23" s="173"/>
      <c r="O23" s="89"/>
      <c r="P23" s="171"/>
      <c r="Q23" s="99"/>
      <c r="R23" s="188" t="str">
        <f>GWI</f>
        <v>Geistiger Widerstand</v>
      </c>
      <c r="S23" s="195" t="str">
        <f>IF(VLOOKUP(R23,EIGENSCHAFTTABLEAU,COLUMN(Eigenschaften!$F$3))="","",CONCATENATE(IF(VLOOKUP(R23,EIGENSCHAFTTABLEAU,COLUMN(Eigenschaften!$G$3))&lt;2,"",CONCATENATE(VLOOKUP(R23,EIGENSCHAFTTABLEAU,COLUMN(Eigenschaften!$G$3)),MALSYMBOL)),VLOOKUP(R23,EIGENSCHAFTTABLEAU,COLUMN(Eigenschaften!$F$3))," ",VLOOKUP(R23,EIGENSCHAFTTABLEAU,COLUMN(Eigenschaften!$H$3))))</f>
        <v>2·WIL 2</v>
      </c>
      <c r="T23" s="196">
        <f>IF(VLOOKUP(R23,EIGENSCHAFTTABLEAU,COLUMN(Eigenschaften!$I$3))="","",CONCATENATE(IF(VLOOKUP(R23,EIGENSCHAFTTABLEAU,COLUMN(Eigenschaften!$J$3))&lt;2,"",CONCATENATE(VLOOKUP(R23,EIGENSCHAFTTABLEAU,COLUMN(Eigenschaften!$J$3)),MALSYMBOL)),VLOOKUP(R23,EIGENSCHAFTTABLEAU,COLUMN(Eigenschaften!$I$3))," ",VLOOKUP(R23,EIGENSCHAFTTABLEAU,COLUMN(Eigenschaften!$K$3))))</f>
      </c>
      <c r="U23" s="201">
        <f>FIXGEISTWIDER</f>
        <v>12</v>
      </c>
      <c r="V23" s="233">
        <f>VLOOKUP(R23,EIGENSCHAFTTABLEAU,COLUMN(Eigenschaften!$M$3))+SUMIF(HILFSTABELLEMANIPULATION,R23,HILFSTABELLEMANIPULATIONSWERT)</f>
        <v>0</v>
      </c>
      <c r="W23" s="104">
        <f>U23+V23+VLOOKUP(R23,EIGENSCHAFTTABLEAU,COLUMN(Eigenschaften!$L$3))</f>
        <v>14</v>
      </c>
      <c r="X23" s="167"/>
      <c r="Y23" s="181"/>
      <c r="Z23" s="89"/>
      <c r="AA23" s="89"/>
    </row>
    <row r="24" spans="1:25" ht="13.5" thickBot="1">
      <c r="A24" s="175"/>
      <c r="B24" s="176"/>
      <c r="C24" s="176"/>
      <c r="D24" s="176"/>
      <c r="E24" s="176"/>
      <c r="F24" s="176"/>
      <c r="G24" s="176"/>
      <c r="H24" s="176"/>
      <c r="I24" s="176"/>
      <c r="J24" s="176"/>
      <c r="K24" s="176"/>
      <c r="L24" s="176"/>
      <c r="M24" s="176"/>
      <c r="N24" s="177"/>
      <c r="P24" s="175"/>
      <c r="Q24" s="176"/>
      <c r="R24" s="176"/>
      <c r="S24" s="176"/>
      <c r="T24" s="176"/>
      <c r="U24" s="176"/>
      <c r="V24" s="176"/>
      <c r="W24" s="176"/>
      <c r="X24" s="176"/>
      <c r="Y24" s="183"/>
    </row>
    <row r="25" ht="14.25" thickBot="1" thickTop="1">
      <c r="Y25" s="95"/>
    </row>
    <row r="26" spans="1:25" ht="13.5" thickTop="1">
      <c r="A26" s="168"/>
      <c r="B26" s="169"/>
      <c r="C26" s="169"/>
      <c r="D26" s="169"/>
      <c r="E26" s="169"/>
      <c r="F26" s="169"/>
      <c r="G26" s="169"/>
      <c r="H26" s="169"/>
      <c r="I26" s="169"/>
      <c r="J26" s="169"/>
      <c r="K26" s="169"/>
      <c r="L26" s="169"/>
      <c r="M26" s="169"/>
      <c r="N26" s="170"/>
      <c r="P26" s="168"/>
      <c r="Q26" s="169"/>
      <c r="R26" s="169"/>
      <c r="S26" s="169"/>
      <c r="T26" s="169"/>
      <c r="U26" s="169"/>
      <c r="V26" s="169"/>
      <c r="W26" s="169"/>
      <c r="X26" s="169"/>
      <c r="Y26" s="184"/>
    </row>
    <row r="27" spans="1:25" ht="15">
      <c r="A27" s="171"/>
      <c r="B27" s="235" t="s">
        <v>475</v>
      </c>
      <c r="C27" s="150"/>
      <c r="D27" s="150"/>
      <c r="E27" s="150"/>
      <c r="F27" s="150"/>
      <c r="G27" s="150"/>
      <c r="H27" s="150"/>
      <c r="I27" s="150"/>
      <c r="J27" s="150"/>
      <c r="K27" s="150"/>
      <c r="L27" s="150"/>
      <c r="M27" s="172"/>
      <c r="N27" s="173"/>
      <c r="P27" s="171"/>
      <c r="Q27" s="235" t="s">
        <v>323</v>
      </c>
      <c r="R27" s="185"/>
      <c r="S27" s="185"/>
      <c r="T27" s="185"/>
      <c r="U27" s="89"/>
      <c r="V27" s="89"/>
      <c r="W27" s="89"/>
      <c r="X27" s="140"/>
      <c r="Y27" s="182"/>
    </row>
    <row r="28" spans="1:26" ht="12.75">
      <c r="A28" s="171"/>
      <c r="B28" s="94"/>
      <c r="C28" s="186" t="str">
        <f>HAN</f>
        <v>Handgemenge</v>
      </c>
      <c r="D28" s="193" t="str">
        <f>IF(VLOOKUP(C28,EIGENSCHAFTTABLEAU,COLUMN(Eigenschaften!$F$3))="","",CONCATENATE(IF(VLOOKUP(C28,EIGENSCHAFTTABLEAU,COLUMN(Eigenschaften!$G$3))&lt;2,"",CONCATENATE(VLOOKUP(C28,EIGENSCHAFTTABLEAU,COLUMN(Eigenschaften!$G$3)),MALSYMBOL)),VLOOKUP(C28,EIGENSCHAFTTABLEAU,COLUMN(Eigenschaften!$F$3))," ",VLOOKUP(C28,EIGENSCHAFTTABLEAU,COLUMN(Eigenschaften!$H$3))))</f>
        <v>BEW 1</v>
      </c>
      <c r="E28" s="194" t="str">
        <f>IF(VLOOKUP(C28,EIGENSCHAFTTABLEAU,COLUMN(Eigenschaften!$I$3))="","",CONCATENATE(IF(VLOOKUP(C28,EIGENSCHAFTTABLEAU,COLUMN(Eigenschaften!$J$3))&lt;2,"",CONCATENATE(VLOOKUP(C28,EIGENSCHAFTTABLEAU,COLUMN(Eigenschaften!$J$3)),MALSYMBOL)),VLOOKUP(C28,EIGENSCHAFTTABLEAU,COLUMN(Eigenschaften!$I$3))," ",VLOOKUP(C28,EIGENSCHAFTTABLEAU,COLUMN(Eigenschaften!$K$3))))</f>
        <v>STÄ 1</v>
      </c>
      <c r="F28" s="161">
        <v>0</v>
      </c>
      <c r="G28" s="229">
        <f>VLOOKUP(C28,EIGENSCHAFTTABLEAU,COLUMN(Eigenschaften!$M$3))</f>
        <v>0</v>
      </c>
      <c r="H28" s="93">
        <f>F28+G28+VLOOKUP(C28,EIGENSCHAFTTABLEAU,COLUMN(Eigenschaften!$L$3))</f>
        <v>2</v>
      </c>
      <c r="I28" s="204" t="str">
        <f>IF(VLOOKUP(CONCATENATE(C28,ABWEHRSUFFIX),EIGENSCHAFTTABLEAU,COLUMN(Eigenschaften!$F$3))="","",CONCATENATE(IF(VLOOKUP(CONCATENATE(C28,ABWEHRSUFFIX),EIGENSCHAFTTABLEAU,COLUMN(Eigenschaften!$G$3))&lt;2,"",CONCATENATE(VLOOKUP(CONCATENATE(C28,ABWEHRSUFFIX),EIGENSCHAFTTABLEAU,COLUMN(Eigenschaften!$G$3)),MALSYMBOL)),VLOOKUP(CONCATENATE(C28,ABWEHRSUFFIX),EIGENSCHAFTTABLEAU,COLUMN(Eigenschaften!$F$3))," ",VLOOKUP(CONCATENATE(C28,ABWEHRSUFFIX),EIGENSCHAFTTABLEAU,COLUMN(Eigenschaften!$H$3))))</f>
        <v>HAN 2</v>
      </c>
      <c r="J28" s="205" t="str">
        <f>IF(VLOOKUP(CONCATENATE(C28,ABWEHRSUFFIX),EIGENSCHAFTTABLEAU,COLUMN(Eigenschaften!$I$3))="","",CONCATENATE(IF(VLOOKUP(CONCATENATE(C28,ABWEHRSUFFIX),EIGENSCHAFTTABLEAU,COLUMN(Eigenschaften!$J$3))&lt;2,"",CONCATENATE(VLOOKUP(CONCATENATE(C28,ABWEHRSUFFIX),EIGENSCHAFTTABLEAU,COLUMN(Eigenschaften!$J$3)),MALSYMBOL)),VLOOKUP(CONCATENATE(C28,ABWEHRSUFFIX),EIGENSCHAFTTABLEAU,COLUMN(Eigenschaften!$I$3))," ",VLOOKUP(CONCATENATE(C28,ABWEHRSUFFIX),EIGENSCHAFTTABLEAU,COLUMN(Eigenschaften!$K$3))))</f>
        <v>RAS 0</v>
      </c>
      <c r="K28" s="199">
        <f>FIXABWEHR</f>
        <v>9</v>
      </c>
      <c r="L28" s="236">
        <f>VLOOKUP(CONCATENATE(C28," Abwehr"),EIGENSCHAFTTABLEAU,COLUMN(Eigenschaften!$M$3))</f>
        <v>0</v>
      </c>
      <c r="M28" s="102">
        <f>K28+L28+VLOOKUP(CONCATENATE(C28,ABWEHRSUFFIX),EIGENSCHAFTTABLEAU,COLUMN(Eigenschaften!$L$3))</f>
        <v>11</v>
      </c>
      <c r="N28" s="174">
        <f aca="true" t="shared" si="2" ref="N28:N36">IF(F28&gt;=MEISTERSCHAFTSCHWELLWERT,REPT(MEISTERSCHAFTSYMBOL,ROUNDUP((F28-MEISTERSCHAFTSCHWELLWERT+1)/MEISTERSCHAFTSCHWELLSCHRITT,0)),"")</f>
      </c>
      <c r="O28" s="89"/>
      <c r="P28" s="171"/>
      <c r="Q28" s="94"/>
      <c r="R28" s="186" t="str">
        <f>ALC</f>
        <v>Alchemie</v>
      </c>
      <c r="S28" s="193" t="str">
        <f>IF(VLOOKUP(R28,EIGENSCHAFTTABLEAU,COLUMN(Eigenschaften!$F$3))="","",CONCATENATE(IF(VLOOKUP(R28,EIGENSCHAFTTABLEAU,COLUMN(Eigenschaften!$G$3))&lt;2,"",CONCATENATE(VLOOKUP(R28,EIGENSCHAFTTABLEAU,COLUMN(Eigenschaften!$G$3)),MALSYMBOL)),VLOOKUP(R28,EIGENSCHAFTTABLEAU,COLUMN(Eigenschaften!$F$3))," ",VLOOKUP(R28,EIGENSCHAFTTABLEAU,COLUMN(Eigenschaften!$H$3))))</f>
        <v>GES 1</v>
      </c>
      <c r="T28" s="194" t="str">
        <f>IF(VLOOKUP(R28,EIGENSCHAFTTABLEAU,COLUMN(Eigenschaften!$I$3))="","",CONCATENATE(IF(VLOOKUP(R28,EIGENSCHAFTTABLEAU,COLUMN(Eigenschaften!$J$3))&lt;2,"",CONCATENATE(VLOOKUP(R28,EIGENSCHAFTTABLEAU,COLUMN(Eigenschaften!$J$3)),MALSYMBOL)),VLOOKUP(R28,EIGENSCHAFTTABLEAU,COLUMN(Eigenschaften!$I$3))," ",VLOOKUP(R28,EIGENSCHAFTTABLEAU,COLUMN(Eigenschaften!$K$3))))</f>
        <v>VER 1</v>
      </c>
      <c r="U28" s="161">
        <v>0</v>
      </c>
      <c r="V28" s="229">
        <f>VLOOKUP(R28,EIGENSCHAFTTABLEAU,COLUMN(Eigenschaften!$M$3))</f>
        <v>0</v>
      </c>
      <c r="W28" s="93">
        <f>U28+VLOOKUP(R28,EIGENSCHAFTTABLEAU,COLUMN(Eigenschaften!$L$3))</f>
        <v>2</v>
      </c>
      <c r="X28" s="210">
        <f aca="true" t="shared" si="3" ref="X28:X54">IF(U28&gt;=MEISTERSCHAFTSCHWELLWERT,REPT(MEISTERSCHAFTSYMBOL,ROUNDUP((U28-MEISTERSCHAFTSCHWELLWERT+1)/MEISTERSCHAFTSCHWELLSCHRITT,0)),"")</f>
      </c>
      <c r="Y28" s="173"/>
      <c r="Z28" s="89"/>
    </row>
    <row r="29" spans="1:26" ht="12.75">
      <c r="A29" s="171"/>
      <c r="B29" s="98"/>
      <c r="C29" s="187" t="str">
        <f>HIE</f>
        <v>Hiebwaffen</v>
      </c>
      <c r="D29" s="197" t="str">
        <f>IF(VLOOKUP(C29,EIGENSCHAFTTABLEAU,COLUMN(Eigenschaften!$F$3))="","",CONCATENATE(IF(VLOOKUP(C29,EIGENSCHAFTTABLEAU,COLUMN(Eigenschaften!$G$3))&lt;2,"",CONCATENATE(VLOOKUP(C29,EIGENSCHAFTTABLEAU,COLUMN(Eigenschaften!$G$3)),MALSYMBOL)),VLOOKUP(C29,EIGENSCHAFTTABLEAU,COLUMN(Eigenschaften!$F$3))," ",VLOOKUP(C29,EIGENSCHAFTTABLEAU,COLUMN(Eigenschaften!$H$3))))</f>
        <v>KON 1</v>
      </c>
      <c r="E29" s="198" t="str">
        <f>IF(VLOOKUP(C29,EIGENSCHAFTTABLEAU,COLUMN(Eigenschaften!$I$3))="","",CONCATENATE(IF(VLOOKUP(C29,EIGENSCHAFTTABLEAU,COLUMN(Eigenschaften!$J$3))&lt;2,"",CONCATENATE(VLOOKUP(C29,EIGENSCHAFTTABLEAU,COLUMN(Eigenschaften!$J$3)),MALSYMBOL)),VLOOKUP(C29,EIGENSCHAFTTABLEAU,COLUMN(Eigenschaften!$I$3))," ",VLOOKUP(C29,EIGENSCHAFTTABLEAU,COLUMN(Eigenschaften!$K$3))))</f>
        <v>STÄ 1</v>
      </c>
      <c r="F29" s="162">
        <v>0</v>
      </c>
      <c r="G29" s="232">
        <f>VLOOKUP(C29,EIGENSCHAFTTABLEAU,COLUMN(Eigenschaften!$M$3))</f>
        <v>0</v>
      </c>
      <c r="H29" s="97">
        <f>F29+G29+VLOOKUP(C29,EIGENSCHAFTTABLEAU,COLUMN(Eigenschaften!$L$3))</f>
        <v>2</v>
      </c>
      <c r="I29" s="206" t="str">
        <f>IF(VLOOKUP(CONCATENATE(C29,ABWEHRSUFFIX),EIGENSCHAFTTABLEAU,COLUMN(Eigenschaften!$F$3))="","",CONCATENATE(IF(VLOOKUP(CONCATENATE(C29,ABWEHRSUFFIX),EIGENSCHAFTTABLEAU,COLUMN(Eigenschaften!$G$3))&lt;2,"",CONCATENATE(VLOOKUP(CONCATENATE(C29,ABWEHRSUFFIX),EIGENSCHAFTTABLEAU,COLUMN(Eigenschaften!$G$3)),MALSYMBOL)),VLOOKUP(CONCATENATE(C29,ABWEHRSUFFIX),EIGENSCHAFTTABLEAU,COLUMN(Eigenschaften!$F$3))," ",VLOOKUP(CONCATENATE(C29,ABWEHRSUFFIX),EIGENSCHAFTTABLEAU,COLUMN(Eigenschaften!$H$3))))</f>
        <v>HIE 2</v>
      </c>
      <c r="J29" s="207" t="str">
        <f>IF(VLOOKUP(CONCATENATE(C29,ABWEHRSUFFIX),EIGENSCHAFTTABLEAU,COLUMN(Eigenschaften!$I$3))="","",CONCATENATE(IF(VLOOKUP(CONCATENATE(C29,ABWEHRSUFFIX),EIGENSCHAFTTABLEAU,COLUMN(Eigenschaften!$J$3))&lt;2,"",CONCATENATE(VLOOKUP(CONCATENATE(C29,ABWEHRSUFFIX),EIGENSCHAFTTABLEAU,COLUMN(Eigenschaften!$J$3)),MALSYMBOL)),VLOOKUP(CONCATENATE(C29,ABWEHRSUFFIX),EIGENSCHAFTTABLEAU,COLUMN(Eigenschaften!$I$3))," ",VLOOKUP(CONCATENATE(C29,ABWEHRSUFFIX),EIGENSCHAFTTABLEAU,COLUMN(Eigenschaften!$K$3))))</f>
        <v>RAS 0</v>
      </c>
      <c r="K29" s="200">
        <f>FIXABWEHR</f>
        <v>9</v>
      </c>
      <c r="L29" s="237">
        <f>VLOOKUP(CONCATENATE(C29," Abwehr"),EIGENSCHAFTTABLEAU,COLUMN(Eigenschaften!$M$3))</f>
        <v>0</v>
      </c>
      <c r="M29" s="103">
        <f>K29+L29+VLOOKUP(CONCATENATE(C29,ABWEHRSUFFIX),EIGENSCHAFTTABLEAU,COLUMN(Eigenschaften!$L$3))</f>
        <v>11</v>
      </c>
      <c r="N29" s="174">
        <f t="shared" si="2"/>
      </c>
      <c r="O29" s="89"/>
      <c r="P29" s="171"/>
      <c r="Q29" s="98"/>
      <c r="R29" s="187" t="str">
        <f>ANF</f>
        <v>Anführen</v>
      </c>
      <c r="S29" s="197" t="str">
        <f>IF(VLOOKUP(R29,EIGENSCHAFTTABLEAU,COLUMN(Eigenschaften!$F$3))="","",CONCATENATE(IF(VLOOKUP(R29,EIGENSCHAFTTABLEAU,COLUMN(Eigenschaften!$G$3))&lt;2,"",CONCATENATE(VLOOKUP(R29,EIGENSCHAFTTABLEAU,COLUMN(Eigenschaften!$G$3)),MALSYMBOL)),VLOOKUP(R29,EIGENSCHAFTTABLEAU,COLUMN(Eigenschaften!$F$3))," ",VLOOKUP(R29,EIGENSCHAFTTABLEAU,COLUMN(Eigenschaften!$H$3))))</f>
        <v>AUS 1</v>
      </c>
      <c r="T29" s="198" t="str">
        <f>IF(VLOOKUP(R29,EIGENSCHAFTTABLEAU,COLUMN(Eigenschaften!$I$3))="","",CONCATENATE(IF(VLOOKUP(R29,EIGENSCHAFTTABLEAU,COLUMN(Eigenschaften!$J$3))&lt;2,"",CONCATENATE(VLOOKUP(R29,EIGENSCHAFTTABLEAU,COLUMN(Eigenschaften!$J$3)),MALSYMBOL)),VLOOKUP(R29,EIGENSCHAFTTABLEAU,COLUMN(Eigenschaften!$I$3))," ",VLOOKUP(R29,EIGENSCHAFTTABLEAU,COLUMN(Eigenschaften!$K$3))))</f>
        <v>VER 1</v>
      </c>
      <c r="U29" s="162">
        <v>0</v>
      </c>
      <c r="V29" s="232">
        <f>VLOOKUP(R29,EIGENSCHAFTTABLEAU,COLUMN(Eigenschaften!$M$3))</f>
        <v>0</v>
      </c>
      <c r="W29" s="97">
        <f>U29+VLOOKUP(R29,EIGENSCHAFTTABLEAU,COLUMN(Eigenschaften!$L$3))</f>
        <v>2</v>
      </c>
      <c r="X29" s="210">
        <f t="shared" si="3"/>
      </c>
      <c r="Y29" s="173"/>
      <c r="Z29" s="89"/>
    </row>
    <row r="30" spans="1:26" ht="12.75">
      <c r="A30" s="171"/>
      <c r="B30" s="98"/>
      <c r="C30" s="187" t="str">
        <f>KET</f>
        <v>Kettenwaffen</v>
      </c>
      <c r="D30" s="197" t="str">
        <f>IF(VLOOKUP(C30,EIGENSCHAFTTABLEAU,COLUMN(Eigenschaften!$F$3))="","",CONCATENATE(IF(VLOOKUP(C30,EIGENSCHAFTTABLEAU,COLUMN(Eigenschaften!$G$3))&lt;2,"",CONCATENATE(VLOOKUP(C30,EIGENSCHAFTTABLEAU,COLUMN(Eigenschaften!$G$3)),MALSYMBOL)),VLOOKUP(C30,EIGENSCHAFTTABLEAU,COLUMN(Eigenschaften!$F$3))," ",VLOOKUP(C30,EIGENSCHAFTTABLEAU,COLUMN(Eigenschaften!$H$3))))</f>
        <v>BEW 1</v>
      </c>
      <c r="E30" s="198" t="str">
        <f>IF(VLOOKUP(C30,EIGENSCHAFTTABLEAU,COLUMN(Eigenschaften!$I$3))="","",CONCATENATE(IF(VLOOKUP(C30,EIGENSCHAFTTABLEAU,COLUMN(Eigenschaften!$J$3))&lt;2,"",CONCATENATE(VLOOKUP(C30,EIGENSCHAFTTABLEAU,COLUMN(Eigenschaften!$J$3)),MALSYMBOL)),VLOOKUP(C30,EIGENSCHAFTTABLEAU,COLUMN(Eigenschaften!$I$3))," ",VLOOKUP(C30,EIGENSCHAFTTABLEAU,COLUMN(Eigenschaften!$K$3))))</f>
        <v>GES 1</v>
      </c>
      <c r="F30" s="162">
        <v>0</v>
      </c>
      <c r="G30" s="232">
        <f>VLOOKUP(C30,EIGENSCHAFTTABLEAU,COLUMN(Eigenschaften!$M$3))</f>
        <v>0</v>
      </c>
      <c r="H30" s="97">
        <f>F30+G30+VLOOKUP(C30,EIGENSCHAFTTABLEAU,COLUMN(Eigenschaften!$L$3))</f>
        <v>2</v>
      </c>
      <c r="I30" s="206" t="str">
        <f>IF(VLOOKUP(CONCATENATE(C30,ABWEHRSUFFIX),EIGENSCHAFTTABLEAU,COLUMN(Eigenschaften!$F$3))="","",CONCATENATE(IF(VLOOKUP(CONCATENATE(C30,ABWEHRSUFFIX),EIGENSCHAFTTABLEAU,COLUMN(Eigenschaften!$G$3))&lt;2,"",CONCATENATE(VLOOKUP(CONCATENATE(C30,ABWEHRSUFFIX),EIGENSCHAFTTABLEAU,COLUMN(Eigenschaften!$G$3)),MALSYMBOL)),VLOOKUP(CONCATENATE(C30,ABWEHRSUFFIX),EIGENSCHAFTTABLEAU,COLUMN(Eigenschaften!$F$3))," ",VLOOKUP(CONCATENATE(C30,ABWEHRSUFFIX),EIGENSCHAFTTABLEAU,COLUMN(Eigenschaften!$H$3))))</f>
        <v>KET 2</v>
      </c>
      <c r="J30" s="207" t="str">
        <f>IF(VLOOKUP(CONCATENATE(C30,ABWEHRSUFFIX),EIGENSCHAFTTABLEAU,COLUMN(Eigenschaften!$I$3))="","",CONCATENATE(IF(VLOOKUP(CONCATENATE(C30,ABWEHRSUFFIX),EIGENSCHAFTTABLEAU,COLUMN(Eigenschaften!$J$3))&lt;2,"",CONCATENATE(VLOOKUP(CONCATENATE(C30,ABWEHRSUFFIX),EIGENSCHAFTTABLEAU,COLUMN(Eigenschaften!$J$3)),MALSYMBOL)),VLOOKUP(CONCATENATE(C30,ABWEHRSUFFIX),EIGENSCHAFTTABLEAU,COLUMN(Eigenschaften!$I$3))," ",VLOOKUP(CONCATENATE(C30,ABWEHRSUFFIX),EIGENSCHAFTTABLEAU,COLUMN(Eigenschaften!$K$3))))</f>
        <v>RAS 0</v>
      </c>
      <c r="K30" s="200">
        <f>FIXABWEHR</f>
        <v>9</v>
      </c>
      <c r="L30" s="237">
        <f>VLOOKUP(CONCATENATE(C30," Abwehr"),EIGENSCHAFTTABLEAU,COLUMN(Eigenschaften!$M$3))</f>
        <v>0</v>
      </c>
      <c r="M30" s="103">
        <f>K30+L30+VLOOKUP(CONCATENATE(C30,ABWEHRSUFFIX),EIGENSCHAFTTABLEAU,COLUMN(Eigenschaften!$L$3))</f>
        <v>11</v>
      </c>
      <c r="N30" s="174">
        <f t="shared" si="2"/>
      </c>
      <c r="O30" s="89"/>
      <c r="P30" s="171"/>
      <c r="Q30" s="98"/>
      <c r="R30" s="187" t="str">
        <f>ARK</f>
        <v>Arkane Kunde</v>
      </c>
      <c r="S30" s="197" t="str">
        <f>IF(VLOOKUP(R30,EIGENSCHAFTTABLEAU,COLUMN(Eigenschaften!$F$3))="","",CONCATENATE(IF(VLOOKUP(R30,EIGENSCHAFTTABLEAU,COLUMN(Eigenschaften!$G$3))&lt;2,"",CONCATENATE(VLOOKUP(R30,EIGENSCHAFTTABLEAU,COLUMN(Eigenschaften!$G$3)),MALSYMBOL)),VLOOKUP(R30,EIGENSCHAFTTABLEAU,COLUMN(Eigenschaften!$F$3))," ",VLOOKUP(R30,EIGENSCHAFTTABLEAU,COLUMN(Eigenschaften!$H$3))))</f>
        <v>VER 1</v>
      </c>
      <c r="T30" s="198" t="str">
        <f>IF(VLOOKUP(R30,EIGENSCHAFTTABLEAU,COLUMN(Eigenschaften!$I$3))="","",CONCATENATE(IF(VLOOKUP(R30,EIGENSCHAFTTABLEAU,COLUMN(Eigenschaften!$J$3))&lt;2,"",CONCATENATE(VLOOKUP(R30,EIGENSCHAFTTABLEAU,COLUMN(Eigenschaften!$J$3)),MALSYMBOL)),VLOOKUP(R30,EIGENSCHAFTTABLEAU,COLUMN(Eigenschaften!$I$3))," ",VLOOKUP(R30,EIGENSCHAFTTABLEAU,COLUMN(Eigenschaften!$K$3))))</f>
        <v>MYS 1</v>
      </c>
      <c r="U30" s="162">
        <v>0</v>
      </c>
      <c r="V30" s="232">
        <f>VLOOKUP(R30,EIGENSCHAFTTABLEAU,COLUMN(Eigenschaften!$M$3))</f>
        <v>0</v>
      </c>
      <c r="W30" s="97">
        <f>U30+VLOOKUP(R30,EIGENSCHAFTTABLEAU,COLUMN(Eigenschaften!$L$3))</f>
        <v>2</v>
      </c>
      <c r="X30" s="210">
        <f t="shared" si="3"/>
      </c>
      <c r="Y30" s="173"/>
      <c r="Z30" s="89"/>
    </row>
    <row r="31" spans="1:26" ht="12.75">
      <c r="A31" s="171"/>
      <c r="B31" s="98"/>
      <c r="C31" s="187" t="str">
        <f>KLI</f>
        <v>Klingenwaffen</v>
      </c>
      <c r="D31" s="197" t="str">
        <f>IF(VLOOKUP(C31,EIGENSCHAFTTABLEAU,COLUMN(Eigenschaften!$F$3))="","",CONCATENATE(IF(VLOOKUP(C31,EIGENSCHAFTTABLEAU,COLUMN(Eigenschaften!$G$3))&lt;2,"",CONCATENATE(VLOOKUP(C31,EIGENSCHAFTTABLEAU,COLUMN(Eigenschaften!$G$3)),MALSYMBOL)),VLOOKUP(C31,EIGENSCHAFTTABLEAU,COLUMN(Eigenschaften!$F$3))," ",VLOOKUP(C31,EIGENSCHAFTTABLEAU,COLUMN(Eigenschaften!$H$3))))</f>
        <v>BEW 1</v>
      </c>
      <c r="E31" s="198" t="str">
        <f>IF(VLOOKUP(C31,EIGENSCHAFTTABLEAU,COLUMN(Eigenschaften!$I$3))="","",CONCATENATE(IF(VLOOKUP(C31,EIGENSCHAFTTABLEAU,COLUMN(Eigenschaften!$J$3))&lt;2,"",CONCATENATE(VLOOKUP(C31,EIGENSCHAFTTABLEAU,COLUMN(Eigenschaften!$J$3)),MALSYMBOL)),VLOOKUP(C31,EIGENSCHAFTTABLEAU,COLUMN(Eigenschaften!$I$3))," ",VLOOKUP(C31,EIGENSCHAFTTABLEAU,COLUMN(Eigenschaften!$K$3))))</f>
        <v>STÄ 1</v>
      </c>
      <c r="F31" s="162">
        <v>0</v>
      </c>
      <c r="G31" s="232">
        <f>VLOOKUP(C31,EIGENSCHAFTTABLEAU,COLUMN(Eigenschaften!$M$3))</f>
        <v>0</v>
      </c>
      <c r="H31" s="97">
        <f>F31+G31+VLOOKUP(C31,EIGENSCHAFTTABLEAU,COLUMN(Eigenschaften!$L$3))</f>
        <v>2</v>
      </c>
      <c r="I31" s="206" t="str">
        <f>IF(VLOOKUP(CONCATENATE(C31,ABWEHRSUFFIX),EIGENSCHAFTTABLEAU,COLUMN(Eigenschaften!$F$3))="","",CONCATENATE(IF(VLOOKUP(CONCATENATE(C31,ABWEHRSUFFIX),EIGENSCHAFTTABLEAU,COLUMN(Eigenschaften!$G$3))&lt;2,"",CONCATENATE(VLOOKUP(CONCATENATE(C31,ABWEHRSUFFIX),EIGENSCHAFTTABLEAU,COLUMN(Eigenschaften!$G$3)),MALSYMBOL)),VLOOKUP(CONCATENATE(C31,ABWEHRSUFFIX),EIGENSCHAFTTABLEAU,COLUMN(Eigenschaften!$F$3))," ",VLOOKUP(CONCATENATE(C31,ABWEHRSUFFIX),EIGENSCHAFTTABLEAU,COLUMN(Eigenschaften!$H$3))))</f>
        <v>KLI 2</v>
      </c>
      <c r="J31" s="207" t="str">
        <f>IF(VLOOKUP(CONCATENATE(C31,ABWEHRSUFFIX),EIGENSCHAFTTABLEAU,COLUMN(Eigenschaften!$I$3))="","",CONCATENATE(IF(VLOOKUP(CONCATENATE(C31,ABWEHRSUFFIX),EIGENSCHAFTTABLEAU,COLUMN(Eigenschaften!$J$3))&lt;2,"",CONCATENATE(VLOOKUP(CONCATENATE(C31,ABWEHRSUFFIX),EIGENSCHAFTTABLEAU,COLUMN(Eigenschaften!$J$3)),MALSYMBOL)),VLOOKUP(CONCATENATE(C31,ABWEHRSUFFIX),EIGENSCHAFTTABLEAU,COLUMN(Eigenschaften!$I$3))," ",VLOOKUP(CONCATENATE(C31,ABWEHRSUFFIX),EIGENSCHAFTTABLEAU,COLUMN(Eigenschaften!$K$3))))</f>
        <v>RAS 0</v>
      </c>
      <c r="K31" s="200">
        <f>FIXABWEHR</f>
        <v>9</v>
      </c>
      <c r="L31" s="237">
        <f>VLOOKUP(CONCATENATE(C31," Abwehr"),EIGENSCHAFTTABLEAU,COLUMN(Eigenschaften!$M$3))</f>
        <v>0</v>
      </c>
      <c r="M31" s="103">
        <f>K31+L31+VLOOKUP(CONCATENATE(C31,ABWEHRSUFFIX),EIGENSCHAFTTABLEAU,COLUMN(Eigenschaften!$L$3))</f>
        <v>11</v>
      </c>
      <c r="N31" s="174">
        <f t="shared" si="2"/>
      </c>
      <c r="O31" s="89"/>
      <c r="P31" s="171"/>
      <c r="Q31" s="99"/>
      <c r="R31" s="188" t="str">
        <f>ATH</f>
        <v>Athletik</v>
      </c>
      <c r="S31" s="195" t="str">
        <f>IF(VLOOKUP(R31,EIGENSCHAFTTABLEAU,COLUMN(Eigenschaften!$F$3))="","",CONCATENATE(IF(VLOOKUP(R31,EIGENSCHAFTTABLEAU,COLUMN(Eigenschaften!$G$3))&lt;2,"",CONCATENATE(VLOOKUP(R31,EIGENSCHAFTTABLEAU,COLUMN(Eigenschaften!$G$3)),MALSYMBOL)),VLOOKUP(R31,EIGENSCHAFTTABLEAU,COLUMN(Eigenschaften!$F$3))," ",VLOOKUP(R31,EIGENSCHAFTTABLEAU,COLUMN(Eigenschaften!$H$3))))</f>
        <v>BEW 1</v>
      </c>
      <c r="T31" s="196" t="str">
        <f>IF(VLOOKUP(R31,EIGENSCHAFTTABLEAU,COLUMN(Eigenschaften!$I$3))="","",CONCATENATE(IF(VLOOKUP(R31,EIGENSCHAFTTABLEAU,COLUMN(Eigenschaften!$J$3))&lt;2,"",CONCATENATE(VLOOKUP(R31,EIGENSCHAFTTABLEAU,COLUMN(Eigenschaften!$J$3)),MALSYMBOL)),VLOOKUP(R31,EIGENSCHAFTTABLEAU,COLUMN(Eigenschaften!$I$3))," ",VLOOKUP(R31,EIGENSCHAFTTABLEAU,COLUMN(Eigenschaften!$K$3))))</f>
        <v>STÄ 1</v>
      </c>
      <c r="U31" s="163">
        <v>0</v>
      </c>
      <c r="V31" s="233">
        <f>VLOOKUP(R31,EIGENSCHAFTTABLEAU,COLUMN(Eigenschaften!$M$3))</f>
        <v>0</v>
      </c>
      <c r="W31" s="101">
        <f>U31+VLOOKUP(R31,EIGENSCHAFTTABLEAU,COLUMN(Eigenschaften!$L$3))</f>
        <v>2</v>
      </c>
      <c r="X31" s="210">
        <f t="shared" si="3"/>
      </c>
      <c r="Y31" s="173"/>
      <c r="Z31" s="89"/>
    </row>
    <row r="32" spans="1:26" ht="12.75">
      <c r="A32" s="171"/>
      <c r="B32" s="99"/>
      <c r="C32" s="188" t="str">
        <f>STA</f>
        <v>Stangenwaffen</v>
      </c>
      <c r="D32" s="195" t="str">
        <f>IF(VLOOKUP(C32,EIGENSCHAFTTABLEAU,COLUMN(Eigenschaften!$F$3))="","",CONCATENATE(IF(VLOOKUP(C32,EIGENSCHAFTTABLEAU,COLUMN(Eigenschaften!$G$3))&lt;2,"",CONCATENATE(VLOOKUP(C32,EIGENSCHAFTTABLEAU,COLUMN(Eigenschaften!$G$3)),MALSYMBOL)),VLOOKUP(C32,EIGENSCHAFTTABLEAU,COLUMN(Eigenschaften!$F$3))," ",VLOOKUP(C32,EIGENSCHAFTTABLEAU,COLUMN(Eigenschaften!$H$3))))</f>
        <v>BEW 1</v>
      </c>
      <c r="E32" s="196" t="str">
        <f>IF(VLOOKUP(C32,EIGENSCHAFTTABLEAU,COLUMN(Eigenschaften!$I$3))="","",CONCATENATE(IF(VLOOKUP(C32,EIGENSCHAFTTABLEAU,COLUMN(Eigenschaften!$J$3))&lt;2,"",CONCATENATE(VLOOKUP(C32,EIGENSCHAFTTABLEAU,COLUMN(Eigenschaften!$J$3)),MALSYMBOL)),VLOOKUP(C32,EIGENSCHAFTTABLEAU,COLUMN(Eigenschaften!$I$3))," ",VLOOKUP(C32,EIGENSCHAFTTABLEAU,COLUMN(Eigenschaften!$K$3))))</f>
        <v>STÄ 1</v>
      </c>
      <c r="F32" s="163">
        <v>0</v>
      </c>
      <c r="G32" s="233">
        <f>VLOOKUP(C32,EIGENSCHAFTTABLEAU,COLUMN(Eigenschaften!$M$3))</f>
        <v>0</v>
      </c>
      <c r="H32" s="101">
        <f>F32+G32+VLOOKUP(C32,EIGENSCHAFTTABLEAU,COLUMN(Eigenschaften!$L$3))</f>
        <v>2</v>
      </c>
      <c r="I32" s="208" t="str">
        <f>IF(VLOOKUP(CONCATENATE(C32,ABWEHRSUFFIX),EIGENSCHAFTTABLEAU,COLUMN(Eigenschaften!$F$3))="","",CONCATENATE(IF(VLOOKUP(CONCATENATE(C32,ABWEHRSUFFIX),EIGENSCHAFTTABLEAU,COLUMN(Eigenschaften!$G$3))&lt;2,"",CONCATENATE(VLOOKUP(CONCATENATE(C32,ABWEHRSUFFIX),EIGENSCHAFTTABLEAU,COLUMN(Eigenschaften!$G$3)),MALSYMBOL)),VLOOKUP(CONCATENATE(C32,ABWEHRSUFFIX),EIGENSCHAFTTABLEAU,COLUMN(Eigenschaften!$F$3))," ",VLOOKUP(CONCATENATE(C32,ABWEHRSUFFIX),EIGENSCHAFTTABLEAU,COLUMN(Eigenschaften!$H$3))))</f>
        <v>STA 2</v>
      </c>
      <c r="J32" s="209" t="str">
        <f>IF(VLOOKUP(CONCATENATE(C32,ABWEHRSUFFIX),EIGENSCHAFTTABLEAU,COLUMN(Eigenschaften!$I$3))="","",CONCATENATE(IF(VLOOKUP(CONCATENATE(C32,ABWEHRSUFFIX),EIGENSCHAFTTABLEAU,COLUMN(Eigenschaften!$J$3))&lt;2,"",CONCATENATE(VLOOKUP(CONCATENATE(C32,ABWEHRSUFFIX),EIGENSCHAFTTABLEAU,COLUMN(Eigenschaften!$J$3)),MALSYMBOL)),VLOOKUP(CONCATENATE(C32,ABWEHRSUFFIX),EIGENSCHAFTTABLEAU,COLUMN(Eigenschaften!$I$3))," ",VLOOKUP(CONCATENATE(C32,ABWEHRSUFFIX),EIGENSCHAFTTABLEAU,COLUMN(Eigenschaften!$K$3))))</f>
        <v>RAS 0</v>
      </c>
      <c r="K32" s="201">
        <f>FIXABWEHR</f>
        <v>9</v>
      </c>
      <c r="L32" s="238">
        <f>VLOOKUP(CONCATENATE(C32," Abwehr"),EIGENSCHAFTTABLEAU,COLUMN(Eigenschaften!$M$3))</f>
        <v>0</v>
      </c>
      <c r="M32" s="104">
        <f>K32+L32+VLOOKUP(CONCATENATE(C32,ABWEHRSUFFIX),EIGENSCHAFTTABLEAU,COLUMN(Eigenschaften!$L$3))</f>
        <v>11</v>
      </c>
      <c r="N32" s="174">
        <f t="shared" si="2"/>
      </c>
      <c r="O32" s="89"/>
      <c r="P32" s="171"/>
      <c r="Q32" s="105"/>
      <c r="R32" s="106" t="str">
        <f>DAR</f>
        <v>Darbietung</v>
      </c>
      <c r="S32" s="192">
        <f>IF(VLOOKUP(R32,EIGENSCHAFTTABLEAU,COLUMN(Eigenschaften!$F$3))="","",CONCATENATE(IF(VLOOKUP(R32,EIGENSCHAFTTABLEAU,COLUMN(Eigenschaften!$G$3))&lt;2,"",CONCATENATE(VLOOKUP(R32,EIGENSCHAFTTABLEAU,COLUMN(Eigenschaften!$G$3)),MALSYMBOL)),VLOOKUP(R32,EIGENSCHAFTTABLEAU,COLUMN(Eigenschaften!$F$3))," ",VLOOKUP(R32,EIGENSCHAFTTABLEAU,COLUMN(Eigenschaften!$H$3))))</f>
      </c>
      <c r="T32" s="192">
        <f>IF(VLOOKUP(R32,EIGENSCHAFTTABLEAU,COLUMN(Eigenschaften!$I$3))="","",CONCATENATE(IF(VLOOKUP(R32,EIGENSCHAFTTABLEAU,COLUMN(Eigenschaften!$J$3))&lt;2,"",CONCATENATE(VLOOKUP(R32,EIGENSCHAFTTABLEAU,COLUMN(Eigenschaften!$J$3)),MALSYMBOL)),VLOOKUP(R32,EIGENSCHAFTTABLEAU,COLUMN(Eigenschaften!$I$3))," ",VLOOKUP(R32,EIGENSCHAFTTABLEAU,COLUMN(Eigenschaften!$K$3))))</f>
      </c>
      <c r="U32" s="159">
        <v>0</v>
      </c>
      <c r="V32" s="239">
        <f>VLOOKUP(R32,EIGENSCHAFTTABLEAU,COLUMN(Eigenschaften!$M$3))</f>
        <v>0</v>
      </c>
      <c r="W32" s="107">
        <f>U32+VLOOKUP(R32,EIGENSCHAFTTABLEAU,COLUMN(Eigenschaften!$L$3))</f>
        <v>0</v>
      </c>
      <c r="X32" s="210">
        <f t="shared" si="3"/>
      </c>
      <c r="Y32" s="173"/>
      <c r="Z32" s="89"/>
    </row>
    <row r="33" spans="1:26" ht="12.75">
      <c r="A33" s="171"/>
      <c r="B33" s="105"/>
      <c r="C33" s="106" t="str">
        <f>GTZ</f>
        <v>Geschütze</v>
      </c>
      <c r="D33" s="192">
        <f>IF(VLOOKUP(C33,EIGENSCHAFTTABLEAU,COLUMN(Eigenschaften!$F$3))="","",CONCATENATE(IF(VLOOKUP(C33,EIGENSCHAFTTABLEAU,COLUMN(Eigenschaften!$G$3))&lt;2,"",CONCATENATE(VLOOKUP(C33,EIGENSCHAFTTABLEAU,COLUMN(Eigenschaften!$G$3)),MALSYMBOL)),VLOOKUP(C33,EIGENSCHAFTTABLEAU,COLUMN(Eigenschaften!$F$3))," ",VLOOKUP(C33,EIGENSCHAFTTABLEAU,COLUMN(Eigenschaften!$H$3))))</f>
      </c>
      <c r="E33" s="192">
        <f>IF(VLOOKUP(C33,EIGENSCHAFTTABLEAU,COLUMN(Eigenschaften!$I$3))="","",CONCATENATE(IF(VLOOKUP(C33,EIGENSCHAFTTABLEAU,COLUMN(Eigenschaften!$J$3))&lt;2,"",CONCATENATE(VLOOKUP(C33,EIGENSCHAFTTABLEAU,COLUMN(Eigenschaften!$J$3)),MALSYMBOL)),VLOOKUP(C33,EIGENSCHAFTTABLEAU,COLUMN(Eigenschaften!$I$3))," ",VLOOKUP(C33,EIGENSCHAFTTABLEAU,COLUMN(Eigenschaften!$K$3))))</f>
      </c>
      <c r="F33" s="159">
        <v>0</v>
      </c>
      <c r="G33" s="239">
        <f>VLOOKUP(C33,EIGENSCHAFTTABLEAU,COLUMN(Eigenschaften!$M$3))</f>
        <v>0</v>
      </c>
      <c r="H33" s="107">
        <f>F33+G33+VLOOKUP(C33,EIGENSCHAFTTABLEAU,COLUMN(Eigenschaften!$L$3))</f>
        <v>0</v>
      </c>
      <c r="I33" s="89"/>
      <c r="J33" s="89"/>
      <c r="K33" s="89"/>
      <c r="L33" s="89"/>
      <c r="M33" s="89"/>
      <c r="N33" s="174">
        <f t="shared" si="2"/>
      </c>
      <c r="P33" s="171"/>
      <c r="Q33" s="105"/>
      <c r="R33" s="106" t="str">
        <f>EDE</f>
        <v>Edelhandwerk</v>
      </c>
      <c r="S33" s="192">
        <f>IF(VLOOKUP(R33,EIGENSCHAFTTABLEAU,COLUMN(Eigenschaften!$F$3))="","",CONCATENATE(IF(VLOOKUP(R33,EIGENSCHAFTTABLEAU,COLUMN(Eigenschaften!$G$3))&lt;2,"",CONCATENATE(VLOOKUP(R33,EIGENSCHAFTTABLEAU,COLUMN(Eigenschaften!$G$3)),MALSYMBOL)),VLOOKUP(R33,EIGENSCHAFTTABLEAU,COLUMN(Eigenschaften!$F$3))," ",VLOOKUP(R33,EIGENSCHAFTTABLEAU,COLUMN(Eigenschaften!$H$3))))</f>
      </c>
      <c r="T33" s="192">
        <f>IF(VLOOKUP(R33,EIGENSCHAFTTABLEAU,COLUMN(Eigenschaften!$I$3))="","",CONCATENATE(IF(VLOOKUP(R33,EIGENSCHAFTTABLEAU,COLUMN(Eigenschaften!$J$3))&lt;2,"",CONCATENATE(VLOOKUP(R33,EIGENSCHAFTTABLEAU,COLUMN(Eigenschaften!$J$3)),MALSYMBOL)),VLOOKUP(R33,EIGENSCHAFTTABLEAU,COLUMN(Eigenschaften!$I$3))," ",VLOOKUP(R33,EIGENSCHAFTTABLEAU,COLUMN(Eigenschaften!$K$3))))</f>
      </c>
      <c r="U33" s="159">
        <v>0</v>
      </c>
      <c r="V33" s="239">
        <f>VLOOKUP(R33,EIGENSCHAFTTABLEAU,COLUMN(Eigenschaften!$M$3))</f>
        <v>0</v>
      </c>
      <c r="W33" s="107">
        <f>U33+VLOOKUP(R33,EIGENSCHAFTTABLEAU,COLUMN(Eigenschaften!$L$3))</f>
        <v>0</v>
      </c>
      <c r="X33" s="210">
        <f t="shared" si="3"/>
      </c>
      <c r="Y33" s="173"/>
      <c r="Z33" s="89"/>
    </row>
    <row r="34" spans="1:26" ht="12.75">
      <c r="A34" s="171"/>
      <c r="B34" s="105"/>
      <c r="C34" s="106" t="str">
        <f>SLE</f>
        <v>Schleuderwaffen</v>
      </c>
      <c r="D34" s="192">
        <f>IF(VLOOKUP(C34,EIGENSCHAFTTABLEAU,COLUMN(Eigenschaften!$F$3))="","",CONCATENATE(IF(VLOOKUP(C34,EIGENSCHAFTTABLEAU,COLUMN(Eigenschaften!$G$3))&lt;2,"",CONCATENATE(VLOOKUP(C34,EIGENSCHAFTTABLEAU,COLUMN(Eigenschaften!$G$3)),MALSYMBOL)),VLOOKUP(C34,EIGENSCHAFTTABLEAU,COLUMN(Eigenschaften!$F$3))," ",VLOOKUP(C34,EIGENSCHAFTTABLEAU,COLUMN(Eigenschaften!$H$3))))</f>
      </c>
      <c r="E34" s="192">
        <f>IF(VLOOKUP(C34,EIGENSCHAFTTABLEAU,COLUMN(Eigenschaften!$I$3))="","",CONCATENATE(IF(VLOOKUP(C34,EIGENSCHAFTTABLEAU,COLUMN(Eigenschaften!$J$3))&lt;2,"",CONCATENATE(VLOOKUP(C34,EIGENSCHAFTTABLEAU,COLUMN(Eigenschaften!$J$3)),MALSYMBOL)),VLOOKUP(C34,EIGENSCHAFTTABLEAU,COLUMN(Eigenschaften!$I$3))," ",VLOOKUP(C34,EIGENSCHAFTTABLEAU,COLUMN(Eigenschaften!$K$3))))</f>
      </c>
      <c r="F34" s="159">
        <v>0</v>
      </c>
      <c r="G34" s="239">
        <f>VLOOKUP(C34,EIGENSCHAFTTABLEAU,COLUMN(Eigenschaften!$M$3))</f>
        <v>0</v>
      </c>
      <c r="H34" s="107">
        <f>F34+G34+VLOOKUP(C34,EIGENSCHAFTTABLEAU,COLUMN(Eigenschaften!$L$3))</f>
        <v>0</v>
      </c>
      <c r="I34" s="89"/>
      <c r="J34" s="89"/>
      <c r="K34" s="89"/>
      <c r="L34" s="89"/>
      <c r="M34" s="89"/>
      <c r="N34" s="174">
        <f t="shared" si="2"/>
      </c>
      <c r="P34" s="171"/>
      <c r="Q34" s="94"/>
      <c r="R34" s="186" t="str">
        <f>EMP</f>
        <v>Empathie</v>
      </c>
      <c r="S34" s="193" t="str">
        <f>IF(VLOOKUP(R34,EIGENSCHAFTTABLEAU,COLUMN(Eigenschaften!$F$3))="","",CONCATENATE(IF(VLOOKUP(R34,EIGENSCHAFTTABLEAU,COLUMN(Eigenschaften!$G$3))&lt;2,"",CONCATENATE(VLOOKUP(R34,EIGENSCHAFTTABLEAU,COLUMN(Eigenschaften!$G$3)),MALSYMBOL)),VLOOKUP(R34,EIGENSCHAFTTABLEAU,COLUMN(Eigenschaften!$F$3))," ",VLOOKUP(R34,EIGENSCHAFTTABLEAU,COLUMN(Eigenschaften!$H$3))))</f>
        <v>VER 1</v>
      </c>
      <c r="T34" s="194" t="str">
        <f>IF(VLOOKUP(R34,EIGENSCHAFTTABLEAU,COLUMN(Eigenschaften!$I$3))="","",CONCATENATE(IF(VLOOKUP(R34,EIGENSCHAFTTABLEAU,COLUMN(Eigenschaften!$J$3))&lt;2,"",CONCATENATE(VLOOKUP(R34,EIGENSCHAFTTABLEAU,COLUMN(Eigenschaften!$J$3)),MALSYMBOL)),VLOOKUP(R34,EIGENSCHAFTTABLEAU,COLUMN(Eigenschaften!$I$3))," ",VLOOKUP(R34,EIGENSCHAFTTABLEAU,COLUMN(Eigenschaften!$K$3))))</f>
        <v>INT 1</v>
      </c>
      <c r="U34" s="161">
        <v>0</v>
      </c>
      <c r="V34" s="229">
        <f>VLOOKUP(R34,EIGENSCHAFTTABLEAU,COLUMN(Eigenschaften!$M$3))</f>
        <v>0</v>
      </c>
      <c r="W34" s="93">
        <f>U34+VLOOKUP(R34,EIGENSCHAFTTABLEAU,COLUMN(Eigenschaften!$L$3))</f>
        <v>2</v>
      </c>
      <c r="X34" s="210">
        <f t="shared" si="3"/>
      </c>
      <c r="Y34" s="173"/>
      <c r="Z34" s="89"/>
    </row>
    <row r="35" spans="1:26" ht="12.75">
      <c r="A35" s="171"/>
      <c r="B35" s="94"/>
      <c r="C35" s="186" t="str">
        <f>SCH</f>
        <v>Schusswaffen</v>
      </c>
      <c r="D35" s="193" t="str">
        <f>IF(VLOOKUP(C35,EIGENSCHAFTTABLEAU,COLUMN(Eigenschaften!$F$3))="","",CONCATENATE(IF(VLOOKUP(C35,EIGENSCHAFTTABLEAU,COLUMN(Eigenschaften!$G$3))&lt;2,"",CONCATENATE(VLOOKUP(C35,EIGENSCHAFTTABLEAU,COLUMN(Eigenschaften!$G$3)),MALSYMBOL)),VLOOKUP(C35,EIGENSCHAFTTABLEAU,COLUMN(Eigenschaften!$F$3))," ",VLOOKUP(C35,EIGENSCHAFTTABLEAU,COLUMN(Eigenschaften!$H$3))))</f>
        <v>GES 1</v>
      </c>
      <c r="E35" s="194" t="str">
        <f>IF(VLOOKUP(C35,EIGENSCHAFTTABLEAU,COLUMN(Eigenschaften!$I$3))="","",CONCATENATE(IF(VLOOKUP(C35,EIGENSCHAFTTABLEAU,COLUMN(Eigenschaften!$J$3))&lt;2,"",CONCATENATE(VLOOKUP(C35,EIGENSCHAFTTABLEAU,COLUMN(Eigenschaften!$J$3)),MALSYMBOL)),VLOOKUP(C35,EIGENSCHAFTTABLEAU,COLUMN(Eigenschaften!$I$3))," ",VLOOKUP(C35,EIGENSCHAFTTABLEAU,COLUMN(Eigenschaften!$K$3))))</f>
        <v>INT 1</v>
      </c>
      <c r="F35" s="161">
        <v>0</v>
      </c>
      <c r="G35" s="229">
        <f>VLOOKUP(C35,EIGENSCHAFTTABLEAU,COLUMN(Eigenschaften!$M$3))</f>
        <v>0</v>
      </c>
      <c r="H35" s="93">
        <f>F35+G35+VLOOKUP(C35,EIGENSCHAFTTABLEAU,COLUMN(Eigenschaften!$L$3))</f>
        <v>2</v>
      </c>
      <c r="I35" s="172"/>
      <c r="J35" s="172"/>
      <c r="K35" s="172"/>
      <c r="L35" s="172"/>
      <c r="M35" s="172"/>
      <c r="N35" s="174">
        <f t="shared" si="2"/>
      </c>
      <c r="P35" s="171"/>
      <c r="Q35" s="98"/>
      <c r="R35" s="187" t="str">
        <f>FIN</f>
        <v>Fingerfertigkeit</v>
      </c>
      <c r="S35" s="197" t="str">
        <f>IF(VLOOKUP(R35,EIGENSCHAFTTABLEAU,COLUMN(Eigenschaften!$F$3))="","",CONCATENATE(IF(VLOOKUP(R35,EIGENSCHAFTTABLEAU,COLUMN(Eigenschaften!$G$3))&lt;2,"",CONCATENATE(VLOOKUP(R35,EIGENSCHAFTTABLEAU,COLUMN(Eigenschaften!$G$3)),MALSYMBOL)),VLOOKUP(R35,EIGENSCHAFTTABLEAU,COLUMN(Eigenschaften!$F$3))," ",VLOOKUP(R35,EIGENSCHAFTTABLEAU,COLUMN(Eigenschaften!$H$3))))</f>
        <v>BEW 1</v>
      </c>
      <c r="T35" s="198" t="str">
        <f>IF(VLOOKUP(R35,EIGENSCHAFTTABLEAU,COLUMN(Eigenschaften!$I$3))="","",CONCATENATE(IF(VLOOKUP(R35,EIGENSCHAFTTABLEAU,COLUMN(Eigenschaften!$J$3))&lt;2,"",CONCATENATE(VLOOKUP(R35,EIGENSCHAFTTABLEAU,COLUMN(Eigenschaften!$J$3)),MALSYMBOL)),VLOOKUP(R35,EIGENSCHAFTTABLEAU,COLUMN(Eigenschaften!$I$3))," ",VLOOKUP(R35,EIGENSCHAFTTABLEAU,COLUMN(Eigenschaften!$K$3))))</f>
        <v>GES 1</v>
      </c>
      <c r="U35" s="162">
        <v>0</v>
      </c>
      <c r="V35" s="232">
        <f>VLOOKUP(R35,EIGENSCHAFTTABLEAU,COLUMN(Eigenschaften!$M$3))</f>
        <v>0</v>
      </c>
      <c r="W35" s="97">
        <f>U35+VLOOKUP(R35,EIGENSCHAFTTABLEAU,COLUMN(Eigenschaften!$L$3))</f>
        <v>2</v>
      </c>
      <c r="X35" s="210">
        <f t="shared" si="3"/>
      </c>
      <c r="Y35" s="173"/>
      <c r="Z35" s="89"/>
    </row>
    <row r="36" spans="1:26" ht="12.75">
      <c r="A36" s="171"/>
      <c r="B36" s="99"/>
      <c r="C36" s="188" t="str">
        <f>WUR</f>
        <v>Wurfwaffen</v>
      </c>
      <c r="D36" s="195" t="str">
        <f>IF(VLOOKUP(C36,EIGENSCHAFTTABLEAU,COLUMN(Eigenschaften!$F$3))="","",CONCATENATE(IF(VLOOKUP(C36,EIGENSCHAFTTABLEAU,COLUMN(Eigenschaften!$G$3))&lt;2,"",CONCATENATE(VLOOKUP(C36,EIGENSCHAFTTABLEAU,COLUMN(Eigenschaften!$G$3)),MALSYMBOL)),VLOOKUP(C36,EIGENSCHAFTTABLEAU,COLUMN(Eigenschaften!$F$3))," ",VLOOKUP(C36,EIGENSCHAFTTABLEAU,COLUMN(Eigenschaften!$H$3))))</f>
        <v>GES 1</v>
      </c>
      <c r="E36" s="196" t="str">
        <f>IF(VLOOKUP(C36,EIGENSCHAFTTABLEAU,COLUMN(Eigenschaften!$I$3))="","",CONCATENATE(IF(VLOOKUP(C36,EIGENSCHAFTTABLEAU,COLUMN(Eigenschaften!$J$3))&lt;2,"",CONCATENATE(VLOOKUP(C36,EIGENSCHAFTTABLEAU,COLUMN(Eigenschaften!$J$3)),MALSYMBOL)),VLOOKUP(C36,EIGENSCHAFTTABLEAU,COLUMN(Eigenschaften!$I$3))," ",VLOOKUP(C36,EIGENSCHAFTTABLEAU,COLUMN(Eigenschaften!$K$3))))</f>
        <v>STÄ 1</v>
      </c>
      <c r="F36" s="163">
        <v>0</v>
      </c>
      <c r="G36" s="233">
        <f>VLOOKUP(C36,EIGENSCHAFTTABLEAU,COLUMN(Eigenschaften!$M$3))</f>
        <v>0</v>
      </c>
      <c r="H36" s="101">
        <f>F36+G36+VLOOKUP(C36,EIGENSCHAFTTABLEAU,COLUMN(Eigenschaften!$L$3))</f>
        <v>2</v>
      </c>
      <c r="I36" s="89"/>
      <c r="J36" s="89"/>
      <c r="K36" s="89"/>
      <c r="L36" s="89"/>
      <c r="M36" s="89"/>
      <c r="N36" s="174">
        <f t="shared" si="2"/>
      </c>
      <c r="O36" s="89"/>
      <c r="P36" s="171"/>
      <c r="Q36" s="98"/>
      <c r="R36" s="187" t="str">
        <f>GUM</f>
        <v>Geschichte und Mythen</v>
      </c>
      <c r="S36" s="197" t="str">
        <f>IF(VLOOKUP(R36,EIGENSCHAFTTABLEAU,COLUMN(Eigenschaften!$F$3))="","",CONCATENATE(IF(VLOOKUP(R36,EIGENSCHAFTTABLEAU,COLUMN(Eigenschaften!$G$3))&lt;2,"",CONCATENATE(VLOOKUP(R36,EIGENSCHAFTTABLEAU,COLUMN(Eigenschaften!$G$3)),MALSYMBOL)),VLOOKUP(R36,EIGENSCHAFTTABLEAU,COLUMN(Eigenschaften!$F$3))," ",VLOOKUP(R36,EIGENSCHAFTTABLEAU,COLUMN(Eigenschaften!$H$3))))</f>
        <v>VER 1</v>
      </c>
      <c r="T36" s="198" t="str">
        <f>IF(VLOOKUP(R36,EIGENSCHAFTTABLEAU,COLUMN(Eigenschaften!$I$3))="","",CONCATENATE(IF(VLOOKUP(R36,EIGENSCHAFTTABLEAU,COLUMN(Eigenschaften!$J$3))&lt;2,"",CONCATENATE(VLOOKUP(R36,EIGENSCHAFTTABLEAU,COLUMN(Eigenschaften!$J$3)),MALSYMBOL)),VLOOKUP(R36,EIGENSCHAFTTABLEAU,COLUMN(Eigenschaften!$I$3))," ",VLOOKUP(R36,EIGENSCHAFTTABLEAU,COLUMN(Eigenschaften!$K$3))))</f>
        <v>MYS 1</v>
      </c>
      <c r="U36" s="162">
        <v>0</v>
      </c>
      <c r="V36" s="232">
        <f>VLOOKUP(R36,EIGENSCHAFTTABLEAU,COLUMN(Eigenschaften!$M$3))</f>
        <v>0</v>
      </c>
      <c r="W36" s="97">
        <f>U36+VLOOKUP(R36,EIGENSCHAFTTABLEAU,COLUMN(Eigenschaften!$L$3))</f>
        <v>2</v>
      </c>
      <c r="X36" s="210">
        <f t="shared" si="3"/>
      </c>
      <c r="Y36" s="173"/>
      <c r="Z36" s="89"/>
    </row>
    <row r="37" spans="1:26" ht="12.75">
      <c r="A37" s="171"/>
      <c r="B37" s="89"/>
      <c r="C37" s="89"/>
      <c r="D37" s="89"/>
      <c r="E37" s="89"/>
      <c r="F37" s="133"/>
      <c r="G37" s="89"/>
      <c r="H37" s="89"/>
      <c r="I37" s="89"/>
      <c r="J37" s="89"/>
      <c r="K37" s="89"/>
      <c r="L37" s="89"/>
      <c r="M37" s="89"/>
      <c r="N37" s="173"/>
      <c r="P37" s="171"/>
      <c r="Q37" s="98"/>
      <c r="R37" s="187" t="str">
        <f>HEI</f>
        <v>Heilkunde</v>
      </c>
      <c r="S37" s="197" t="str">
        <f>IF(VLOOKUP(R37,EIGENSCHAFTTABLEAU,COLUMN(Eigenschaften!$F$3))="","",CONCATENATE(IF(VLOOKUP(R37,EIGENSCHAFTTABLEAU,COLUMN(Eigenschaften!$G$3))&lt;2,"",CONCATENATE(VLOOKUP(R37,EIGENSCHAFTTABLEAU,COLUMN(Eigenschaften!$G$3)),MALSYMBOL)),VLOOKUP(R37,EIGENSCHAFTTABLEAU,COLUMN(Eigenschaften!$F$3))," ",VLOOKUP(R37,EIGENSCHAFTTABLEAU,COLUMN(Eigenschaften!$H$3))))</f>
        <v>GES 1</v>
      </c>
      <c r="T37" s="198" t="str">
        <f>IF(VLOOKUP(R37,EIGENSCHAFTTABLEAU,COLUMN(Eigenschaften!$I$3))="","",CONCATENATE(IF(VLOOKUP(R37,EIGENSCHAFTTABLEAU,COLUMN(Eigenschaften!$J$3))&lt;2,"",CONCATENATE(VLOOKUP(R37,EIGENSCHAFTTABLEAU,COLUMN(Eigenschaften!$J$3)),MALSYMBOL)),VLOOKUP(R37,EIGENSCHAFTTABLEAU,COLUMN(Eigenschaften!$I$3))," ",VLOOKUP(R37,EIGENSCHAFTTABLEAU,COLUMN(Eigenschaften!$K$3))))</f>
        <v>VER 1</v>
      </c>
      <c r="U37" s="162">
        <v>0</v>
      </c>
      <c r="V37" s="232">
        <f>VLOOKUP(R37,EIGENSCHAFTTABLEAU,COLUMN(Eigenschaften!$M$3))</f>
        <v>0</v>
      </c>
      <c r="W37" s="97">
        <f>U37+VLOOKUP(R37,EIGENSCHAFTTABLEAU,COLUMN(Eigenschaften!$L$3))</f>
        <v>2</v>
      </c>
      <c r="X37" s="210">
        <f t="shared" si="3"/>
      </c>
      <c r="Y37" s="173"/>
      <c r="Z37" s="89"/>
    </row>
    <row r="38" spans="1:26" ht="15">
      <c r="A38" s="171"/>
      <c r="B38" s="235" t="s">
        <v>329</v>
      </c>
      <c r="C38" s="150"/>
      <c r="D38" s="150"/>
      <c r="E38" s="150"/>
      <c r="F38" s="178"/>
      <c r="G38" s="150"/>
      <c r="H38" s="150"/>
      <c r="I38" s="150"/>
      <c r="J38" s="150"/>
      <c r="K38" s="150"/>
      <c r="L38" s="150"/>
      <c r="M38" s="89"/>
      <c r="N38" s="174"/>
      <c r="P38" s="171"/>
      <c r="Q38" s="99"/>
      <c r="R38" s="188" t="str">
        <f>HML</f>
        <v>Heimlichkeit</v>
      </c>
      <c r="S38" s="195" t="str">
        <f>IF(VLOOKUP(R38,EIGENSCHAFTTABLEAU,COLUMN(Eigenschaften!$F$3))="","",CONCATENATE(IF(VLOOKUP(R38,EIGENSCHAFTTABLEAU,COLUMN(Eigenschaften!$G$3))&lt;2,"",CONCATENATE(VLOOKUP(R38,EIGENSCHAFTTABLEAU,COLUMN(Eigenschaften!$G$3)),MALSYMBOL)),VLOOKUP(R38,EIGENSCHAFTTABLEAU,COLUMN(Eigenschaften!$F$3))," ",VLOOKUP(R38,EIGENSCHAFTTABLEAU,COLUMN(Eigenschaften!$H$3))))</f>
        <v>BEW 1</v>
      </c>
      <c r="T38" s="196" t="str">
        <f>IF(VLOOKUP(R38,EIGENSCHAFTTABLEAU,COLUMN(Eigenschaften!$I$3))="","",CONCATENATE(IF(VLOOKUP(R38,EIGENSCHAFTTABLEAU,COLUMN(Eigenschaften!$J$3))&lt;2,"",CONCATENATE(VLOOKUP(R38,EIGENSCHAFTTABLEAU,COLUMN(Eigenschaften!$J$3)),MALSYMBOL)),VLOOKUP(R38,EIGENSCHAFTTABLEAU,COLUMN(Eigenschaften!$I$3))," ",VLOOKUP(R38,EIGENSCHAFTTABLEAU,COLUMN(Eigenschaften!$K$3))))</f>
        <v>INT 1</v>
      </c>
      <c r="U38" s="163">
        <v>0</v>
      </c>
      <c r="V38" s="233">
        <f>VLOOKUP(R38,EIGENSCHAFTTABLEAU,COLUMN(Eigenschaften!$M$3))</f>
        <v>0</v>
      </c>
      <c r="W38" s="101">
        <f>U38+VLOOKUP(R38,EIGENSCHAFTTABLEAU,COLUMN(Eigenschaften!$L$3))</f>
        <v>2</v>
      </c>
      <c r="X38" s="210">
        <f t="shared" si="3"/>
      </c>
      <c r="Y38" s="173"/>
      <c r="Z38" s="89"/>
    </row>
    <row r="39" spans="1:26" ht="12.75">
      <c r="A39" s="171"/>
      <c r="B39" s="94"/>
      <c r="C39" s="92" t="str">
        <f>AKR</f>
        <v>Akrobatik</v>
      </c>
      <c r="D39" s="193" t="str">
        <f>IF(VLOOKUP(C39,EIGENSCHAFTTABLEAU,COLUMN(Eigenschaften!$F$3))="","",CONCATENATE(IF(VLOOKUP(C39,EIGENSCHAFTTABLEAU,COLUMN(Eigenschaften!$G$3))&lt;2,"",CONCATENATE(VLOOKUP(C39,EIGENSCHAFTTABLEAU,COLUMN(Eigenschaften!$G$3)),MALSYMBOL)),VLOOKUP(C39,EIGENSCHAFTTABLEAU,COLUMN(Eigenschaften!$F$3))," ",VLOOKUP(C39,EIGENSCHAFTTABLEAU,COLUMN(Eigenschaften!$H$3))))</f>
        <v>BEW 1</v>
      </c>
      <c r="E39" s="194" t="str">
        <f>IF(VLOOKUP(C39,EIGENSCHAFTTABLEAU,COLUMN(Eigenschaften!$I$3))="","",CONCATENATE(IF(VLOOKUP(C39,EIGENSCHAFTTABLEAU,COLUMN(Eigenschaften!$J$3))&lt;2,"",CONCATENATE(VLOOKUP(C39,EIGENSCHAFTTABLEAU,COLUMN(Eigenschaften!$J$3)),MALSYMBOL)),VLOOKUP(C39,EIGENSCHAFTTABLEAU,COLUMN(Eigenschaften!$I$3))," ",VLOOKUP(C39,EIGENSCHAFTTABLEAU,COLUMN(Eigenschaften!$K$3))))</f>
        <v>INT 1</v>
      </c>
      <c r="F39" s="153">
        <v>0</v>
      </c>
      <c r="G39" s="229">
        <f>VLOOKUP(C39,EIGENSCHAFTTABLEAU,COLUMN(Eigenschaften!$M$3))</f>
        <v>0</v>
      </c>
      <c r="H39" s="93">
        <f>F39+G39+VLOOKUP(C39,EIGENSCHAFTTABLEAU,COLUMN(Eigenschaften!$L$3))</f>
        <v>2</v>
      </c>
      <c r="I39" s="204" t="str">
        <f>IF(VLOOKUP(CONCATENATE(C39,ABWEHRSUFFIX),EIGENSCHAFTTABLEAU,COLUMN(Eigenschaften!$F$3))="","",CONCATENATE(IF(VLOOKUP(CONCATENATE(C39,ABWEHRSUFFIX),EIGENSCHAFTTABLEAU,COLUMN(Eigenschaften!$G$3))&lt;2,"",CONCATENATE(VLOOKUP(CONCATENATE(C39,ABWEHRSUFFIX),EIGENSCHAFTTABLEAU,COLUMN(Eigenschaften!$G$3)),MALSYMBOL)),VLOOKUP(CONCATENATE(C39,ABWEHRSUFFIX),EIGENSCHAFTTABLEAU,COLUMN(Eigenschaften!$F$3))," ",VLOOKUP(CONCATENATE(C39,ABWEHRSUFFIX),EIGENSCHAFTTABLEAU,COLUMN(Eigenschaften!$H$3))))</f>
        <v>AKR 2</v>
      </c>
      <c r="J39" s="205" t="str">
        <f>IF(VLOOKUP(CONCATENATE(C39,ABWEHRSUFFIX),EIGENSCHAFTTABLEAU,COLUMN(Eigenschaften!$I$3))="","",CONCATENATE(IF(VLOOKUP(CONCATENATE(C39,ABWEHRSUFFIX),EIGENSCHAFTTABLEAU,COLUMN(Eigenschaften!$J$3))&lt;2,"",CONCATENATE(VLOOKUP(CONCATENATE(C39,ABWEHRSUFFIX),EIGENSCHAFTTABLEAU,COLUMN(Eigenschaften!$J$3)),MALSYMBOL)),VLOOKUP(CONCATENATE(C39,ABWEHRSUFFIX),EIGENSCHAFTTABLEAU,COLUMN(Eigenschaften!$I$3))," ",VLOOKUP(CONCATENATE(C39,ABWEHRSUFFIX),EIGENSCHAFTTABLEAU,COLUMN(Eigenschaften!$K$3))))</f>
        <v>RAS 0</v>
      </c>
      <c r="K39" s="199">
        <f>FIXABWEHR</f>
        <v>9</v>
      </c>
      <c r="L39" s="236">
        <f>VLOOKUP(CONCATENATE(C39," Abwehr"),EIGENSCHAFTTABLEAU,COLUMN(Eigenschaften!$M$3))</f>
        <v>0</v>
      </c>
      <c r="M39" s="102">
        <f>K39+L39+VLOOKUP(CONCATENATE(C39,ABWEHRSUFFIX),EIGENSCHAFTTABLEAU,COLUMN(Eigenschaften!$L$3))</f>
        <v>11</v>
      </c>
      <c r="N39" s="174">
        <f>IF(F39&gt;=MEISTERSCHAFTSCHWELLWERT,REPT(MEISTERSCHAFTSYMBOL,ROUNDUP((F39-MEISTERSCHAFTSCHWELLWERT+1)/MEISTERSCHAFTSCHWELLSCHRITT,0)),"")</f>
      </c>
      <c r="P39" s="171"/>
      <c r="Q39" s="105"/>
      <c r="R39" s="106" t="str">
        <f>HOL</f>
        <v>Holzarbeiten</v>
      </c>
      <c r="S39" s="192">
        <f>IF(VLOOKUP(R39,EIGENSCHAFTTABLEAU,COLUMN(Eigenschaften!$F$3))="","",CONCATENATE(IF(VLOOKUP(R39,EIGENSCHAFTTABLEAU,COLUMN(Eigenschaften!$G$3))&lt;2,"",CONCATENATE(VLOOKUP(R39,EIGENSCHAFTTABLEAU,COLUMN(Eigenschaften!$G$3)),MALSYMBOL)),VLOOKUP(R39,EIGENSCHAFTTABLEAU,COLUMN(Eigenschaften!$F$3))," ",VLOOKUP(R39,EIGENSCHAFTTABLEAU,COLUMN(Eigenschaften!$H$3))))</f>
      </c>
      <c r="T39" s="192">
        <f>IF(VLOOKUP(R39,EIGENSCHAFTTABLEAU,COLUMN(Eigenschaften!$I$3))="","",CONCATENATE(IF(VLOOKUP(R39,EIGENSCHAFTTABLEAU,COLUMN(Eigenschaften!$J$3))&lt;2,"",CONCATENATE(VLOOKUP(R39,EIGENSCHAFTTABLEAU,COLUMN(Eigenschaften!$J$3)),MALSYMBOL)),VLOOKUP(R39,EIGENSCHAFTTABLEAU,COLUMN(Eigenschaften!$I$3))," ",VLOOKUP(R39,EIGENSCHAFTTABLEAU,COLUMN(Eigenschaften!$K$3))))</f>
      </c>
      <c r="U39" s="159">
        <v>0</v>
      </c>
      <c r="V39" s="239">
        <f>VLOOKUP(R39,EIGENSCHAFTTABLEAU,COLUMN(Eigenschaften!$M$3))</f>
        <v>0</v>
      </c>
      <c r="W39" s="107">
        <f>U39+VLOOKUP(R39,EIGENSCHAFTTABLEAU,COLUMN(Eigenschaften!$L$3))</f>
        <v>0</v>
      </c>
      <c r="X39" s="210">
        <f t="shared" si="3"/>
      </c>
      <c r="Y39" s="173"/>
      <c r="Z39" s="89"/>
    </row>
    <row r="40" spans="1:26" ht="12.75">
      <c r="A40" s="171"/>
      <c r="B40" s="98"/>
      <c r="C40" s="96" t="str">
        <f>ENT</f>
        <v>Entschlossenheit</v>
      </c>
      <c r="D40" s="197" t="str">
        <f>IF(VLOOKUP(C40,EIGENSCHAFTTABLEAU,COLUMN(Eigenschaften!$F$3))="","",CONCATENATE(IF(VLOOKUP(C40,EIGENSCHAFTTABLEAU,COLUMN(Eigenschaften!$G$3))&lt;2,"",CONCATENATE(VLOOKUP(C40,EIGENSCHAFTTABLEAU,COLUMN(Eigenschaften!$G$3)),MALSYMBOL)),VLOOKUP(C40,EIGENSCHAFTTABLEAU,COLUMN(Eigenschaften!$F$3))," ",VLOOKUP(C40,EIGENSCHAFTTABLEAU,COLUMN(Eigenschaften!$H$3))))</f>
        <v>AUS 1</v>
      </c>
      <c r="E40" s="198" t="str">
        <f>IF(VLOOKUP(C40,EIGENSCHAFTTABLEAU,COLUMN(Eigenschaften!$I$3))="","",CONCATENATE(IF(VLOOKUP(C40,EIGENSCHAFTTABLEAU,COLUMN(Eigenschaften!$J$3))&lt;2,"",CONCATENATE(VLOOKUP(C40,EIGENSCHAFTTABLEAU,COLUMN(Eigenschaften!$J$3)),MALSYMBOL)),VLOOKUP(C40,EIGENSCHAFTTABLEAU,COLUMN(Eigenschaften!$I$3))," ",VLOOKUP(C40,EIGENSCHAFTTABLEAU,COLUMN(Eigenschaften!$K$3))))</f>
        <v>WIL 1</v>
      </c>
      <c r="F40" s="154">
        <v>0</v>
      </c>
      <c r="G40" s="232">
        <f>VLOOKUP(C40,EIGENSCHAFTTABLEAU,COLUMN(Eigenschaften!$M$3))</f>
        <v>0</v>
      </c>
      <c r="H40" s="97">
        <f>F40+G40+VLOOKUP(C40,EIGENSCHAFTTABLEAU,COLUMN(Eigenschaften!$L$3))</f>
        <v>2</v>
      </c>
      <c r="I40" s="206" t="str">
        <f>IF(VLOOKUP(CONCATENATE(C40,ABWEHRSUFFIX),EIGENSCHAFTTABLEAU,COLUMN(Eigenschaften!$F$3))="","",CONCATENATE(IF(VLOOKUP(CONCATENATE(C40,ABWEHRSUFFIX),EIGENSCHAFTTABLEAU,COLUMN(Eigenschaften!$G$3))&lt;2,"",CONCATENATE(VLOOKUP(CONCATENATE(C40,ABWEHRSUFFIX),EIGENSCHAFTTABLEAU,COLUMN(Eigenschaften!$G$3)),MALSYMBOL)),VLOOKUP(CONCATENATE(C40,ABWEHRSUFFIX),EIGENSCHAFTTABLEAU,COLUMN(Eigenschaften!$F$3))," ",VLOOKUP(CONCATENATE(C40,ABWEHRSUFFIX),EIGENSCHAFTTABLEAU,COLUMN(Eigenschaften!$H$3))))</f>
        <v>ENT 2</v>
      </c>
      <c r="J40" s="207">
        <f>IF(VLOOKUP(CONCATENATE(C40,ABWEHRSUFFIX),EIGENSCHAFTTABLEAU,COLUMN(Eigenschaften!$I$3))="","",CONCATENATE(IF(VLOOKUP(CONCATENATE(C40,ABWEHRSUFFIX),EIGENSCHAFTTABLEAU,COLUMN(Eigenschaften!$J$3))&lt;2,"",CONCATENATE(VLOOKUP(CONCATENATE(C40,ABWEHRSUFFIX),EIGENSCHAFTTABLEAU,COLUMN(Eigenschaften!$J$3)),MALSYMBOL)),VLOOKUP(CONCATENATE(C40,ABWEHRSUFFIX),EIGENSCHAFTTABLEAU,COLUMN(Eigenschaften!$I$3))," ",VLOOKUP(CONCATENATE(C40,ABWEHRSUFFIX),EIGENSCHAFTTABLEAU,COLUMN(Eigenschaften!$K$3))))</f>
      </c>
      <c r="K40" s="200">
        <f>FIXABWEHR</f>
        <v>9</v>
      </c>
      <c r="L40" s="237">
        <f>VLOOKUP(CONCATENATE(C40," Abwehr"),EIGENSCHAFTTABLEAU,COLUMN(Eigenschaften!$M$3))</f>
        <v>0</v>
      </c>
      <c r="M40" s="103">
        <f>K40+L40+VLOOKUP(CONCATENATE(C40,ABWEHRSUFFIX),EIGENSCHAFTTABLEAU,COLUMN(Eigenschaften!$L$3))</f>
        <v>11</v>
      </c>
      <c r="N40" s="174">
        <f>IF(F40&gt;=MEISTERSCHAFTSCHWELLWERT,REPT(MEISTERSCHAFTSYMBOL,ROUNDUP((F40-MEISTERSCHAFTSCHWELLWERT+1)/MEISTERSCHAFTSCHWELLSCHRITT,0)),"")</f>
      </c>
      <c r="P40" s="171"/>
      <c r="Q40" s="105"/>
      <c r="R40" s="106" t="str">
        <f>JAG</f>
        <v>Jagd</v>
      </c>
      <c r="S40" s="192">
        <f>IF(VLOOKUP(R40,EIGENSCHAFTTABLEAU,COLUMN(Eigenschaften!$F$3))="","",CONCATENATE(IF(VLOOKUP(R40,EIGENSCHAFTTABLEAU,COLUMN(Eigenschaften!$G$3))&lt;2,"",CONCATENATE(VLOOKUP(R40,EIGENSCHAFTTABLEAU,COLUMN(Eigenschaften!$G$3)),MALSYMBOL)),VLOOKUP(R40,EIGENSCHAFTTABLEAU,COLUMN(Eigenschaften!$F$3))," ",VLOOKUP(R40,EIGENSCHAFTTABLEAU,COLUMN(Eigenschaften!$H$3))))</f>
      </c>
      <c r="T40" s="192">
        <f>IF(VLOOKUP(R40,EIGENSCHAFTTABLEAU,COLUMN(Eigenschaften!$I$3))="","",CONCATENATE(IF(VLOOKUP(R40,EIGENSCHAFTTABLEAU,COLUMN(Eigenschaften!$J$3))&lt;2,"",CONCATENATE(VLOOKUP(R40,EIGENSCHAFTTABLEAU,COLUMN(Eigenschaften!$J$3)),MALSYMBOL)),VLOOKUP(R40,EIGENSCHAFTTABLEAU,COLUMN(Eigenschaften!$I$3))," ",VLOOKUP(R40,EIGENSCHAFTTABLEAU,COLUMN(Eigenschaften!$K$3))))</f>
      </c>
      <c r="U40" s="159">
        <v>0</v>
      </c>
      <c r="V40" s="239">
        <f>VLOOKUP(R40,EIGENSCHAFTTABLEAU,COLUMN(Eigenschaften!$M$3))</f>
        <v>0</v>
      </c>
      <c r="W40" s="107">
        <f>U40+VLOOKUP(R40,EIGENSCHAFTTABLEAU,COLUMN(Eigenschaften!$L$3))</f>
        <v>0</v>
      </c>
      <c r="X40" s="210">
        <f t="shared" si="3"/>
      </c>
      <c r="Y40" s="173"/>
      <c r="Z40" s="89"/>
    </row>
    <row r="41" spans="1:26" ht="12.75">
      <c r="A41" s="171"/>
      <c r="B41" s="99"/>
      <c r="C41" s="100" t="str">
        <f>ZÄH</f>
        <v>Zähigkeit</v>
      </c>
      <c r="D41" s="195" t="str">
        <f>IF(VLOOKUP(C41,EIGENSCHAFTTABLEAU,COLUMN(Eigenschaften!$F$3))="","",CONCATENATE(IF(VLOOKUP(C41,EIGENSCHAFTTABLEAU,COLUMN(Eigenschaften!$G$3))&lt;2,"",CONCATENATE(VLOOKUP(C41,EIGENSCHAFTTABLEAU,COLUMN(Eigenschaften!$G$3)),MALSYMBOL)),VLOOKUP(C41,EIGENSCHAFTTABLEAU,COLUMN(Eigenschaften!$F$3))," ",VLOOKUP(C41,EIGENSCHAFTTABLEAU,COLUMN(Eigenschaften!$H$3))))</f>
        <v>KON 1</v>
      </c>
      <c r="E41" s="196" t="str">
        <f>IF(VLOOKUP(C41,EIGENSCHAFTTABLEAU,COLUMN(Eigenschaften!$I$3))="","",CONCATENATE(IF(VLOOKUP(C41,EIGENSCHAFTTABLEAU,COLUMN(Eigenschaften!$J$3))&lt;2,"",CONCATENATE(VLOOKUP(C41,EIGENSCHAFTTABLEAU,COLUMN(Eigenschaften!$J$3)),MALSYMBOL)),VLOOKUP(C41,EIGENSCHAFTTABLEAU,COLUMN(Eigenschaften!$I$3))," ",VLOOKUP(C41,EIGENSCHAFTTABLEAU,COLUMN(Eigenschaften!$K$3))))</f>
        <v>WIL 1</v>
      </c>
      <c r="F41" s="155">
        <v>0</v>
      </c>
      <c r="G41" s="233">
        <f>VLOOKUP(C41,EIGENSCHAFTTABLEAU,COLUMN(Eigenschaften!$M$3))</f>
        <v>0</v>
      </c>
      <c r="H41" s="101">
        <f>F41+G41+VLOOKUP(C41,EIGENSCHAFTTABLEAU,COLUMN(Eigenschaften!$L$3))</f>
        <v>2</v>
      </c>
      <c r="I41" s="208" t="str">
        <f>IF(VLOOKUP(CONCATENATE(C41,ABWEHRSUFFIX),EIGENSCHAFTTABLEAU,COLUMN(Eigenschaften!$F$3))="","",CONCATENATE(IF(VLOOKUP(CONCATENATE(C41,ABWEHRSUFFIX),EIGENSCHAFTTABLEAU,COLUMN(Eigenschaften!$G$3))&lt;2,"",CONCATENATE(VLOOKUP(CONCATENATE(C41,ABWEHRSUFFIX),EIGENSCHAFTTABLEAU,COLUMN(Eigenschaften!$G$3)),MALSYMBOL)),VLOOKUP(CONCATENATE(C41,ABWEHRSUFFIX),EIGENSCHAFTTABLEAU,COLUMN(Eigenschaften!$F$3))," ",VLOOKUP(CONCATENATE(C41,ABWEHRSUFFIX),EIGENSCHAFTTABLEAU,COLUMN(Eigenschaften!$H$3))))</f>
        <v>ZÄH 2</v>
      </c>
      <c r="J41" s="209">
        <f>IF(VLOOKUP(CONCATENATE(C41,ABWEHRSUFFIX),EIGENSCHAFTTABLEAU,COLUMN(Eigenschaften!$I$3))="","",CONCATENATE(IF(VLOOKUP(CONCATENATE(C41,ABWEHRSUFFIX),EIGENSCHAFTTABLEAU,COLUMN(Eigenschaften!$J$3))&lt;2,"",CONCATENATE(VLOOKUP(CONCATENATE(C41,ABWEHRSUFFIX),EIGENSCHAFTTABLEAU,COLUMN(Eigenschaften!$J$3)),MALSYMBOL)),VLOOKUP(CONCATENATE(C41,ABWEHRSUFFIX),EIGENSCHAFTTABLEAU,COLUMN(Eigenschaften!$I$3))," ",VLOOKUP(CONCATENATE(C41,ABWEHRSUFFIX),EIGENSCHAFTTABLEAU,COLUMN(Eigenschaften!$K$3))))</f>
      </c>
      <c r="K41" s="201">
        <f>FIXABWEHR</f>
        <v>9</v>
      </c>
      <c r="L41" s="238">
        <f>VLOOKUP(CONCATENATE(C41," Abwehr"),EIGENSCHAFTTABLEAU,COLUMN(Eigenschaften!$M$3))</f>
        <v>0</v>
      </c>
      <c r="M41" s="104">
        <f>K41+L41+VLOOKUP(CONCATENATE(C41,ABWEHRSUFFIX),EIGENSCHAFTTABLEAU,COLUMN(Eigenschaften!$L$3))</f>
        <v>11</v>
      </c>
      <c r="N41" s="174">
        <f>IF(F41&gt;=MEISTERSCHAFTSCHWELLWERT,REPT(MEISTERSCHAFTSYMBOL,ROUNDUP((F41-MEISTERSCHAFTSCHWELLWERT+1)/MEISTERSCHAFTSCHWELLSCHRITT,0)),"")</f>
      </c>
      <c r="P41" s="171"/>
      <c r="Q41" s="105"/>
      <c r="R41" s="106" t="str">
        <f>LÄN</f>
        <v>Länder und Völker</v>
      </c>
      <c r="S41" s="192">
        <f>IF(VLOOKUP(R41,EIGENSCHAFTTABLEAU,COLUMN(Eigenschaften!$F$3))="","",CONCATENATE(IF(VLOOKUP(R41,EIGENSCHAFTTABLEAU,COLUMN(Eigenschaften!$G$3))&lt;2,"",CONCATENATE(VLOOKUP(R41,EIGENSCHAFTTABLEAU,COLUMN(Eigenschaften!$G$3)),MALSYMBOL)),VLOOKUP(R41,EIGENSCHAFTTABLEAU,COLUMN(Eigenschaften!$F$3))," ",VLOOKUP(R41,EIGENSCHAFTTABLEAU,COLUMN(Eigenschaften!$H$3))))</f>
      </c>
      <c r="T41" s="192">
        <f>IF(VLOOKUP(R41,EIGENSCHAFTTABLEAU,COLUMN(Eigenschaften!$I$3))="","",CONCATENATE(IF(VLOOKUP(R41,EIGENSCHAFTTABLEAU,COLUMN(Eigenschaften!$J$3))&lt;2,"",CONCATENATE(VLOOKUP(R41,EIGENSCHAFTTABLEAU,COLUMN(Eigenschaften!$J$3)),MALSYMBOL)),VLOOKUP(R41,EIGENSCHAFTTABLEAU,COLUMN(Eigenschaften!$I$3))," ",VLOOKUP(R41,EIGENSCHAFTTABLEAU,COLUMN(Eigenschaften!$K$3))))</f>
      </c>
      <c r="U41" s="159">
        <v>0</v>
      </c>
      <c r="V41" s="239">
        <f>VLOOKUP(R41,EIGENSCHAFTTABLEAU,COLUMN(Eigenschaften!$M$3))</f>
        <v>0</v>
      </c>
      <c r="W41" s="107">
        <f>U41+VLOOKUP(R41,EIGENSCHAFTTABLEAU,COLUMN(Eigenschaften!$L$3))</f>
        <v>0</v>
      </c>
      <c r="X41" s="210">
        <f t="shared" si="3"/>
      </c>
      <c r="Y41" s="173"/>
      <c r="Z41" s="89"/>
    </row>
    <row r="42" spans="1:26" ht="13.5" thickBot="1">
      <c r="A42" s="175"/>
      <c r="B42" s="176"/>
      <c r="C42" s="176"/>
      <c r="D42" s="176"/>
      <c r="E42" s="176"/>
      <c r="F42" s="176"/>
      <c r="G42" s="176"/>
      <c r="H42" s="176"/>
      <c r="I42" s="176"/>
      <c r="J42" s="176"/>
      <c r="K42" s="176"/>
      <c r="L42" s="176"/>
      <c r="M42" s="176"/>
      <c r="N42" s="177"/>
      <c r="P42" s="171"/>
      <c r="Q42" s="105"/>
      <c r="R42" s="106" t="str">
        <f>LED</f>
        <v>Leder und Stoffe</v>
      </c>
      <c r="S42" s="192">
        <f>IF(VLOOKUP(R42,EIGENSCHAFTTABLEAU,COLUMN(Eigenschaften!$F$3))="","",CONCATENATE(IF(VLOOKUP(R42,EIGENSCHAFTTABLEAU,COLUMN(Eigenschaften!$G$3))&lt;2,"",CONCATENATE(VLOOKUP(R42,EIGENSCHAFTTABLEAU,COLUMN(Eigenschaften!$G$3)),MALSYMBOL)),VLOOKUP(R42,EIGENSCHAFTTABLEAU,COLUMN(Eigenschaften!$F$3))," ",VLOOKUP(R42,EIGENSCHAFTTABLEAU,COLUMN(Eigenschaften!$H$3))))</f>
      </c>
      <c r="T42" s="192">
        <f>IF(VLOOKUP(R42,EIGENSCHAFTTABLEAU,COLUMN(Eigenschaften!$I$3))="","",CONCATENATE(IF(VLOOKUP(R42,EIGENSCHAFTTABLEAU,COLUMN(Eigenschaften!$J$3))&lt;2,"",CONCATENATE(VLOOKUP(R42,EIGENSCHAFTTABLEAU,COLUMN(Eigenschaften!$J$3)),MALSYMBOL)),VLOOKUP(R42,EIGENSCHAFTTABLEAU,COLUMN(Eigenschaften!$I$3))," ",VLOOKUP(R42,EIGENSCHAFTTABLEAU,COLUMN(Eigenschaften!$K$3))))</f>
      </c>
      <c r="U42" s="159">
        <v>0</v>
      </c>
      <c r="V42" s="239">
        <f>VLOOKUP(R42,EIGENSCHAFTTABLEAU,COLUMN(Eigenschaften!$M$3))</f>
        <v>0</v>
      </c>
      <c r="W42" s="107">
        <f>U42+VLOOKUP(R42,EIGENSCHAFTTABLEAU,COLUMN(Eigenschaften!$L$3))</f>
        <v>0</v>
      </c>
      <c r="X42" s="210">
        <f t="shared" si="3"/>
      </c>
      <c r="Y42" s="173"/>
      <c r="Z42" s="89"/>
    </row>
    <row r="43" spans="1:26" ht="14.25" thickBot="1" thickTop="1">
      <c r="A43" s="89"/>
      <c r="F43" s="139"/>
      <c r="O43" s="89"/>
      <c r="P43" s="171"/>
      <c r="Q43" s="105"/>
      <c r="R43" s="106" t="str">
        <f>MET</f>
        <v>Metallarbeiten</v>
      </c>
      <c r="S43" s="192">
        <f>IF(VLOOKUP(R43,EIGENSCHAFTTABLEAU,COLUMN(Eigenschaften!$F$3))="","",CONCATENATE(IF(VLOOKUP(R43,EIGENSCHAFTTABLEAU,COLUMN(Eigenschaften!$G$3))&lt;2,"",CONCATENATE(VLOOKUP(R43,EIGENSCHAFTTABLEAU,COLUMN(Eigenschaften!$G$3)),MALSYMBOL)),VLOOKUP(R43,EIGENSCHAFTTABLEAU,COLUMN(Eigenschaften!$F$3))," ",VLOOKUP(R43,EIGENSCHAFTTABLEAU,COLUMN(Eigenschaften!$H$3))))</f>
      </c>
      <c r="T43" s="192">
        <f>IF(VLOOKUP(R43,EIGENSCHAFTTABLEAU,COLUMN(Eigenschaften!$I$3))="","",CONCATENATE(IF(VLOOKUP(R43,EIGENSCHAFTTABLEAU,COLUMN(Eigenschaften!$J$3))&lt;2,"",CONCATENATE(VLOOKUP(R43,EIGENSCHAFTTABLEAU,COLUMN(Eigenschaften!$J$3)),MALSYMBOL)),VLOOKUP(R43,EIGENSCHAFTTABLEAU,COLUMN(Eigenschaften!$I$3))," ",VLOOKUP(R43,EIGENSCHAFTTABLEAU,COLUMN(Eigenschaften!$K$3))))</f>
      </c>
      <c r="U43" s="159">
        <v>0</v>
      </c>
      <c r="V43" s="239">
        <f>VLOOKUP(R43,EIGENSCHAFTTABLEAU,COLUMN(Eigenschaften!$M$3))</f>
        <v>0</v>
      </c>
      <c r="W43" s="107">
        <f>U43+VLOOKUP(R43,EIGENSCHAFTTABLEAU,COLUMN(Eigenschaften!$L$3))</f>
        <v>0</v>
      </c>
      <c r="X43" s="210">
        <f t="shared" si="3"/>
      </c>
      <c r="Y43" s="173"/>
      <c r="Z43" s="89"/>
    </row>
    <row r="44" spans="1:26" ht="13.5" thickTop="1">
      <c r="A44" s="168"/>
      <c r="B44" s="169"/>
      <c r="C44" s="169"/>
      <c r="D44" s="169"/>
      <c r="E44" s="169"/>
      <c r="F44" s="179"/>
      <c r="G44" s="169"/>
      <c r="H44" s="169"/>
      <c r="I44" s="169"/>
      <c r="J44" s="169"/>
      <c r="K44" s="169"/>
      <c r="L44" s="169"/>
      <c r="M44" s="169"/>
      <c r="N44" s="180"/>
      <c r="O44" s="89"/>
      <c r="P44" s="171"/>
      <c r="Q44" s="94"/>
      <c r="R44" s="186" t="str">
        <f>NAT</f>
        <v>Naturkunde</v>
      </c>
      <c r="S44" s="193" t="str">
        <f>IF(VLOOKUP(R44,EIGENSCHAFTTABLEAU,COLUMN(Eigenschaften!$F$3))="","",CONCATENATE(IF(VLOOKUP(R44,EIGENSCHAFTTABLEAU,COLUMN(Eigenschaften!$G$3))&lt;2,"",CONCATENATE(VLOOKUP(R44,EIGENSCHAFTTABLEAU,COLUMN(Eigenschaften!$G$3)),MALSYMBOL)),VLOOKUP(R44,EIGENSCHAFTTABLEAU,COLUMN(Eigenschaften!$F$3))," ",VLOOKUP(R44,EIGENSCHAFTTABLEAU,COLUMN(Eigenschaften!$H$3))))</f>
        <v>VER 1</v>
      </c>
      <c r="T44" s="194" t="str">
        <f>IF(VLOOKUP(R44,EIGENSCHAFTTABLEAU,COLUMN(Eigenschaften!$I$3))="","",CONCATENATE(IF(VLOOKUP(R44,EIGENSCHAFTTABLEAU,COLUMN(Eigenschaften!$J$3))&lt;2,"",CONCATENATE(VLOOKUP(R44,EIGENSCHAFTTABLEAU,COLUMN(Eigenschaften!$J$3)),MALSYMBOL)),VLOOKUP(R44,EIGENSCHAFTTABLEAU,COLUMN(Eigenschaften!$I$3))," ",VLOOKUP(R44,EIGENSCHAFTTABLEAU,COLUMN(Eigenschaften!$K$3))))</f>
        <v>INT 1</v>
      </c>
      <c r="U44" s="161">
        <v>0</v>
      </c>
      <c r="V44" s="229">
        <f>VLOOKUP(R44,EIGENSCHAFTTABLEAU,COLUMN(Eigenschaften!$M$3))</f>
        <v>0</v>
      </c>
      <c r="W44" s="93">
        <f>U44+VLOOKUP(R44,EIGENSCHAFTTABLEAU,COLUMN(Eigenschaften!$L$3))</f>
        <v>2</v>
      </c>
      <c r="X44" s="210">
        <f t="shared" si="3"/>
      </c>
      <c r="Y44" s="173"/>
      <c r="Z44" s="89"/>
    </row>
    <row r="45" spans="1:26" ht="15">
      <c r="A45" s="171"/>
      <c r="B45" s="235" t="s">
        <v>324</v>
      </c>
      <c r="C45" s="132"/>
      <c r="D45" s="132"/>
      <c r="E45" s="132"/>
      <c r="F45" s="160"/>
      <c r="G45" s="132"/>
      <c r="H45" s="132"/>
      <c r="I45" s="89"/>
      <c r="J45" s="89"/>
      <c r="K45" s="89"/>
      <c r="L45" s="89"/>
      <c r="M45" s="89"/>
      <c r="N45" s="174"/>
      <c r="O45" s="89"/>
      <c r="P45" s="171"/>
      <c r="Q45" s="98"/>
      <c r="R45" s="187" t="str">
        <f>RED</f>
        <v>Redekunst</v>
      </c>
      <c r="S45" s="197" t="str">
        <f>IF(VLOOKUP(R45,EIGENSCHAFTTABLEAU,COLUMN(Eigenschaften!$F$3))="","",CONCATENATE(IF(VLOOKUP(R45,EIGENSCHAFTTABLEAU,COLUMN(Eigenschaften!$G$3))&lt;2,"",CONCATENATE(VLOOKUP(R45,EIGENSCHAFTTABLEAU,COLUMN(Eigenschaften!$G$3)),MALSYMBOL)),VLOOKUP(R45,EIGENSCHAFTTABLEAU,COLUMN(Eigenschaften!$F$3))," ",VLOOKUP(R45,EIGENSCHAFTTABLEAU,COLUMN(Eigenschaften!$H$3))))</f>
        <v>AUS 1</v>
      </c>
      <c r="T45" s="198" t="str">
        <f>IF(VLOOKUP(R45,EIGENSCHAFTTABLEAU,COLUMN(Eigenschaften!$I$3))="","",CONCATENATE(IF(VLOOKUP(R45,EIGENSCHAFTTABLEAU,COLUMN(Eigenschaften!$J$3))&lt;2,"",CONCATENATE(VLOOKUP(R45,EIGENSCHAFTTABLEAU,COLUMN(Eigenschaften!$J$3)),MALSYMBOL)),VLOOKUP(R45,EIGENSCHAFTTABLEAU,COLUMN(Eigenschaften!$I$3))," ",VLOOKUP(R45,EIGENSCHAFTTABLEAU,COLUMN(Eigenschaften!$K$3))))</f>
        <v>INT 1</v>
      </c>
      <c r="U45" s="162">
        <v>0</v>
      </c>
      <c r="V45" s="232">
        <f>VLOOKUP(R45,EIGENSCHAFTTABLEAU,COLUMN(Eigenschaften!$M$3))</f>
        <v>0</v>
      </c>
      <c r="W45" s="97">
        <f>U45+VLOOKUP(R45,EIGENSCHAFTTABLEAU,COLUMN(Eigenschaften!$L$3))</f>
        <v>2</v>
      </c>
      <c r="X45" s="210">
        <f t="shared" si="3"/>
      </c>
      <c r="Y45" s="173"/>
      <c r="Z45" s="89"/>
    </row>
    <row r="46" spans="1:26" ht="12.75">
      <c r="A46" s="171"/>
      <c r="B46" s="94"/>
      <c r="C46" s="92" t="str">
        <f>MFE</f>
        <v>Magieschule Feuer</v>
      </c>
      <c r="D46" s="193" t="str">
        <f>IF(VLOOKUP(C46,EIGENSCHAFTTABLEAU,COLUMN(Eigenschaften!$F$3))="","",CONCATENATE(IF(VLOOKUP(C46,EIGENSCHAFTTABLEAU,COLUMN(Eigenschaften!$G$3))&lt;2,"",CONCATENATE(VLOOKUP(C46,EIGENSCHAFTTABLEAU,COLUMN(Eigenschaften!$G$3)),MALSYMBOL)),VLOOKUP(C46,EIGENSCHAFTTABLEAU,COLUMN(Eigenschaften!$F$3))," ",VLOOKUP(C46,EIGENSCHAFTTABLEAU,COLUMN(Eigenschaften!$H$3))))</f>
        <v>MYS 1</v>
      </c>
      <c r="E46" s="194" t="str">
        <f>IF(VLOOKUP(C46,EIGENSCHAFTTABLEAU,COLUMN(Eigenschaften!$I$3))="","",CONCATENATE(IF(VLOOKUP(C46,EIGENSCHAFTTABLEAU,COLUMN(Eigenschaften!$J$3))&lt;2,"",CONCATENATE(VLOOKUP(C46,EIGENSCHAFTTABLEAU,COLUMN(Eigenschaften!$J$3)),MALSYMBOL)),VLOOKUP(C46,EIGENSCHAFTTABLEAU,COLUMN(Eigenschaften!$I$3))," ",VLOOKUP(C46,EIGENSCHAFTTABLEAU,COLUMN(Eigenschaften!$K$3))))</f>
        <v>WIL 1</v>
      </c>
      <c r="F46" s="153">
        <v>0</v>
      </c>
      <c r="G46" s="229">
        <f>VLOOKUP(C46,EIGENSCHAFTTABLEAU,COLUMN(Eigenschaften!$M$3))</f>
        <v>0</v>
      </c>
      <c r="H46" s="108">
        <f>F46+G46+VLOOKUP(C46,EIGENSCHAFTTABLEAU,COLUMN(Eigenschaften!$L$3))</f>
        <v>2</v>
      </c>
      <c r="I46" s="89"/>
      <c r="J46" s="89"/>
      <c r="K46" s="89"/>
      <c r="L46" s="89"/>
      <c r="M46" s="89"/>
      <c r="N46" s="174">
        <f aca="true" t="shared" si="4" ref="N46:N51">IF(F46&gt;=MEISTERSCHAFTSCHWELLWERT,REPT(MEISTERSCHAFTSYMBOL,ROUNDUP((F46-MEISTERSCHAFTSCHWELLWERT+1)/MEISTERSCHAFTSCHWELLSCHRITT,0)),"")</f>
      </c>
      <c r="O46" s="89"/>
      <c r="P46" s="171"/>
      <c r="Q46" s="99"/>
      <c r="R46" s="188" t="str">
        <f>SUF</f>
        <v>Schlösser und Fallen</v>
      </c>
      <c r="S46" s="195" t="str">
        <f>IF(VLOOKUP(R46,EIGENSCHAFTTABLEAU,COLUMN(Eigenschaften!$F$3))="","",CONCATENATE(IF(VLOOKUP(R46,EIGENSCHAFTTABLEAU,COLUMN(Eigenschaften!$G$3))&lt;2,"",CONCATENATE(VLOOKUP(R46,EIGENSCHAFTTABLEAU,COLUMN(Eigenschaften!$G$3)),MALSYMBOL)),VLOOKUP(R46,EIGENSCHAFTTABLEAU,COLUMN(Eigenschaften!$F$3))," ",VLOOKUP(R46,EIGENSCHAFTTABLEAU,COLUMN(Eigenschaften!$H$3))))</f>
        <v>GES 1</v>
      </c>
      <c r="T46" s="196" t="str">
        <f>IF(VLOOKUP(R46,EIGENSCHAFTTABLEAU,COLUMN(Eigenschaften!$I$3))="","",CONCATENATE(IF(VLOOKUP(R46,EIGENSCHAFTTABLEAU,COLUMN(Eigenschaften!$J$3))&lt;2,"",CONCATENATE(VLOOKUP(R46,EIGENSCHAFTTABLEAU,COLUMN(Eigenschaften!$J$3)),MALSYMBOL)),VLOOKUP(R46,EIGENSCHAFTTABLEAU,COLUMN(Eigenschaften!$I$3))," ",VLOOKUP(R46,EIGENSCHAFTTABLEAU,COLUMN(Eigenschaften!$K$3))))</f>
        <v>INT 1</v>
      </c>
      <c r="U46" s="163">
        <v>0</v>
      </c>
      <c r="V46" s="233">
        <f>VLOOKUP(R46,EIGENSCHAFTTABLEAU,COLUMN(Eigenschaften!$M$3))</f>
        <v>0</v>
      </c>
      <c r="W46" s="101">
        <f>U46+VLOOKUP(R46,EIGENSCHAFTTABLEAU,COLUMN(Eigenschaften!$L$3))</f>
        <v>2</v>
      </c>
      <c r="X46" s="210">
        <f t="shared" si="3"/>
      </c>
      <c r="Y46" s="173"/>
      <c r="Z46" s="89"/>
    </row>
    <row r="47" spans="1:26" ht="12.75">
      <c r="A47" s="171"/>
      <c r="B47" s="98"/>
      <c r="C47" s="96" t="str">
        <f>MLU</f>
        <v>Magieschule Luft</v>
      </c>
      <c r="D47" s="197" t="str">
        <f>IF(VLOOKUP(C47,EIGENSCHAFTTABLEAU,COLUMN(Eigenschaften!$F$3))="","",CONCATENATE(IF(VLOOKUP(C47,EIGENSCHAFTTABLEAU,COLUMN(Eigenschaften!$G$3))&lt;2,"",CONCATENATE(VLOOKUP(C47,EIGENSCHAFTTABLEAU,COLUMN(Eigenschaften!$G$3)),MALSYMBOL)),VLOOKUP(C47,EIGENSCHAFTTABLEAU,COLUMN(Eigenschaften!$F$3))," ",VLOOKUP(C47,EIGENSCHAFTTABLEAU,COLUMN(Eigenschaften!$H$3))))</f>
        <v>MYS 1</v>
      </c>
      <c r="E47" s="198" t="str">
        <f>IF(VLOOKUP(C47,EIGENSCHAFTTABLEAU,COLUMN(Eigenschaften!$I$3))="","",CONCATENATE(IF(VLOOKUP(C47,EIGENSCHAFTTABLEAU,COLUMN(Eigenschaften!$J$3))&lt;2,"",CONCATENATE(VLOOKUP(C47,EIGENSCHAFTTABLEAU,COLUMN(Eigenschaften!$J$3)),MALSYMBOL)),VLOOKUP(C47,EIGENSCHAFTTABLEAU,COLUMN(Eigenschaften!$I$3))," ",VLOOKUP(C47,EIGENSCHAFTTABLEAU,COLUMN(Eigenschaften!$K$3))))</f>
        <v>VER 1</v>
      </c>
      <c r="F47" s="154">
        <v>0</v>
      </c>
      <c r="G47" s="232">
        <f>VLOOKUP(C47,EIGENSCHAFTTABLEAU,COLUMN(Eigenschaften!$M$3))</f>
        <v>0</v>
      </c>
      <c r="H47" s="109">
        <f>F47+G47+VLOOKUP(C47,EIGENSCHAFTTABLEAU,COLUMN(Eigenschaften!$L$3))</f>
        <v>2</v>
      </c>
      <c r="I47" s="89"/>
      <c r="J47" s="89"/>
      <c r="K47" s="89"/>
      <c r="L47" s="89"/>
      <c r="M47" s="89"/>
      <c r="N47" s="174">
        <f t="shared" si="4"/>
      </c>
      <c r="P47" s="171"/>
      <c r="Q47" s="105"/>
      <c r="R47" s="106" t="str">
        <f>SWI</f>
        <v>Schwimmen</v>
      </c>
      <c r="S47" s="192">
        <f>IF(VLOOKUP(R47,EIGENSCHAFTTABLEAU,COLUMN(Eigenschaften!$F$3))="","",CONCATENATE(IF(VLOOKUP(R47,EIGENSCHAFTTABLEAU,COLUMN(Eigenschaften!$G$3))&lt;2,"",CONCATENATE(VLOOKUP(R47,EIGENSCHAFTTABLEAU,COLUMN(Eigenschaften!$G$3)),MALSYMBOL)),VLOOKUP(R47,EIGENSCHAFTTABLEAU,COLUMN(Eigenschaften!$F$3))," ",VLOOKUP(R47,EIGENSCHAFTTABLEAU,COLUMN(Eigenschaften!$H$3))))</f>
      </c>
      <c r="T47" s="192">
        <f>IF(VLOOKUP(R47,EIGENSCHAFTTABLEAU,COLUMN(Eigenschaften!$I$3))="","",CONCATENATE(IF(VLOOKUP(R47,EIGENSCHAFTTABLEAU,COLUMN(Eigenschaften!$J$3))&lt;2,"",CONCATENATE(VLOOKUP(R47,EIGENSCHAFTTABLEAU,COLUMN(Eigenschaften!$J$3)),MALSYMBOL)),VLOOKUP(R47,EIGENSCHAFTTABLEAU,COLUMN(Eigenschaften!$I$3))," ",VLOOKUP(R47,EIGENSCHAFTTABLEAU,COLUMN(Eigenschaften!$K$3))))</f>
      </c>
      <c r="U47" s="159">
        <v>0</v>
      </c>
      <c r="V47" s="239">
        <f>VLOOKUP(R47,EIGENSCHAFTTABLEAU,COLUMN(Eigenschaften!$M$3))</f>
        <v>0</v>
      </c>
      <c r="W47" s="107">
        <f>U47+VLOOKUP(R47,EIGENSCHAFTTABLEAU,COLUMN(Eigenschaften!$L$3))</f>
        <v>0</v>
      </c>
      <c r="X47" s="210">
        <f t="shared" si="3"/>
      </c>
      <c r="Y47" s="173"/>
      <c r="Z47" s="89"/>
    </row>
    <row r="48" spans="1:26" ht="12.75">
      <c r="A48" s="171"/>
      <c r="B48" s="98"/>
      <c r="C48" s="96" t="str">
        <f>MNA</f>
        <v>Magieschule Natur</v>
      </c>
      <c r="D48" s="197" t="str">
        <f>IF(VLOOKUP(C48,EIGENSCHAFTTABLEAU,COLUMN(Eigenschaften!$F$3))="","",CONCATENATE(IF(VLOOKUP(C48,EIGENSCHAFTTABLEAU,COLUMN(Eigenschaften!$G$3))&lt;2,"",CONCATENATE(VLOOKUP(C48,EIGENSCHAFTTABLEAU,COLUMN(Eigenschaften!$G$3)),MALSYMBOL)),VLOOKUP(C48,EIGENSCHAFTTABLEAU,COLUMN(Eigenschaften!$F$3))," ",VLOOKUP(C48,EIGENSCHAFTTABLEAU,COLUMN(Eigenschaften!$H$3))))</f>
        <v>MYS 1</v>
      </c>
      <c r="E48" s="198" t="str">
        <f>IF(VLOOKUP(C48,EIGENSCHAFTTABLEAU,COLUMN(Eigenschaften!$I$3))="","",CONCATENATE(IF(VLOOKUP(C48,EIGENSCHAFTTABLEAU,COLUMN(Eigenschaften!$J$3))&lt;2,"",CONCATENATE(VLOOKUP(C48,EIGENSCHAFTTABLEAU,COLUMN(Eigenschaften!$J$3)),MALSYMBOL)),VLOOKUP(C48,EIGENSCHAFTTABLEAU,COLUMN(Eigenschaften!$I$3))," ",VLOOKUP(C48,EIGENSCHAFTTABLEAU,COLUMN(Eigenschaften!$K$3))))</f>
        <v>AUS 1</v>
      </c>
      <c r="F48" s="154">
        <v>0</v>
      </c>
      <c r="G48" s="232">
        <f>VLOOKUP(C48,EIGENSCHAFTTABLEAU,COLUMN(Eigenschaften!$M$3))</f>
        <v>0</v>
      </c>
      <c r="H48" s="109">
        <f>F48+G48+VLOOKUP(C48,EIGENSCHAFTTABLEAU,COLUMN(Eigenschaften!$L$3))</f>
        <v>2</v>
      </c>
      <c r="I48" s="89"/>
      <c r="J48" s="89"/>
      <c r="K48" s="89"/>
      <c r="L48" s="89"/>
      <c r="M48" s="89"/>
      <c r="N48" s="174">
        <f t="shared" si="4"/>
      </c>
      <c r="P48" s="171"/>
      <c r="Q48" s="105"/>
      <c r="R48" s="106" t="str">
        <f>SEE</f>
        <v>Seefahrt</v>
      </c>
      <c r="S48" s="192">
        <f>IF(VLOOKUP(R48,EIGENSCHAFTTABLEAU,COLUMN(Eigenschaften!$F$3))="","",CONCATENATE(IF(VLOOKUP(R48,EIGENSCHAFTTABLEAU,COLUMN(Eigenschaften!$G$3))&lt;2,"",CONCATENATE(VLOOKUP(R48,EIGENSCHAFTTABLEAU,COLUMN(Eigenschaften!$G$3)),MALSYMBOL)),VLOOKUP(R48,EIGENSCHAFTTABLEAU,COLUMN(Eigenschaften!$F$3))," ",VLOOKUP(R48,EIGENSCHAFTTABLEAU,COLUMN(Eigenschaften!$H$3))))</f>
      </c>
      <c r="T48" s="192">
        <f>IF(VLOOKUP(R48,EIGENSCHAFTTABLEAU,COLUMN(Eigenschaften!$I$3))="","",CONCATENATE(IF(VLOOKUP(R48,EIGENSCHAFTTABLEAU,COLUMN(Eigenschaften!$J$3))&lt;2,"",CONCATENATE(VLOOKUP(R48,EIGENSCHAFTTABLEAU,COLUMN(Eigenschaften!$J$3)),MALSYMBOL)),VLOOKUP(R48,EIGENSCHAFTTABLEAU,COLUMN(Eigenschaften!$I$3))," ",VLOOKUP(R48,EIGENSCHAFTTABLEAU,COLUMN(Eigenschaften!$K$3))))</f>
      </c>
      <c r="U48" s="159">
        <v>0</v>
      </c>
      <c r="V48" s="239">
        <f>VLOOKUP(R48,EIGENSCHAFTTABLEAU,COLUMN(Eigenschaften!$M$3))</f>
        <v>0</v>
      </c>
      <c r="W48" s="107">
        <f>U48+VLOOKUP(R48,EIGENSCHAFTTABLEAU,COLUMN(Eigenschaften!$L$3))</f>
        <v>0</v>
      </c>
      <c r="X48" s="210">
        <f t="shared" si="3"/>
      </c>
      <c r="Y48" s="173"/>
      <c r="Z48" s="89"/>
    </row>
    <row r="49" spans="1:26" ht="12.75">
      <c r="A49" s="171"/>
      <c r="B49" s="98"/>
      <c r="C49" s="96" t="str">
        <f>MSC</f>
        <v>Magieschule Schatten</v>
      </c>
      <c r="D49" s="197" t="str">
        <f>IF(VLOOKUP(C49,EIGENSCHAFTTABLEAU,COLUMN(Eigenschaften!$F$3))="","",CONCATENATE(IF(VLOOKUP(C49,EIGENSCHAFTTABLEAU,COLUMN(Eigenschaften!$G$3))&lt;2,"",CONCATENATE(VLOOKUP(C49,EIGENSCHAFTTABLEAU,COLUMN(Eigenschaften!$G$3)),MALSYMBOL)),VLOOKUP(C49,EIGENSCHAFTTABLEAU,COLUMN(Eigenschaften!$F$3))," ",VLOOKUP(C49,EIGENSCHAFTTABLEAU,COLUMN(Eigenschaften!$H$3))))</f>
        <v>MYS 1</v>
      </c>
      <c r="E49" s="198" t="str">
        <f>IF(VLOOKUP(C49,EIGENSCHAFTTABLEAU,COLUMN(Eigenschaften!$I$3))="","",CONCATENATE(IF(VLOOKUP(C49,EIGENSCHAFTTABLEAU,COLUMN(Eigenschaften!$J$3))&lt;2,"",CONCATENATE(VLOOKUP(C49,EIGENSCHAFTTABLEAU,COLUMN(Eigenschaften!$J$3)),MALSYMBOL)),VLOOKUP(C49,EIGENSCHAFTTABLEAU,COLUMN(Eigenschaften!$I$3))," ",VLOOKUP(C49,EIGENSCHAFTTABLEAU,COLUMN(Eigenschaften!$K$3))))</f>
        <v>INT 1</v>
      </c>
      <c r="F49" s="154">
        <v>0</v>
      </c>
      <c r="G49" s="232">
        <f>VLOOKUP(C49,EIGENSCHAFTTABLEAU,COLUMN(Eigenschaften!$M$3))</f>
        <v>0</v>
      </c>
      <c r="H49" s="109">
        <f>F49+G49+VLOOKUP(C49,EIGENSCHAFTTABLEAU,COLUMN(Eigenschaften!$L$3))</f>
        <v>2</v>
      </c>
      <c r="I49" s="89"/>
      <c r="J49" s="89"/>
      <c r="K49" s="89"/>
      <c r="L49" s="89"/>
      <c r="M49" s="89"/>
      <c r="N49" s="174">
        <f t="shared" si="4"/>
      </c>
      <c r="P49" s="171"/>
      <c r="Q49" s="94"/>
      <c r="R49" s="186" t="str">
        <f>STR</f>
        <v>Straßenkunde</v>
      </c>
      <c r="S49" s="193" t="str">
        <f>IF(VLOOKUP(R49,EIGENSCHAFTTABLEAU,COLUMN(Eigenschaften!$F$3))="","",CONCATENATE(IF(VLOOKUP(R49,EIGENSCHAFTTABLEAU,COLUMN(Eigenschaften!$G$3))&lt;2,"",CONCATENATE(VLOOKUP(R49,EIGENSCHAFTTABLEAU,COLUMN(Eigenschaften!$G$3)),MALSYMBOL)),VLOOKUP(R49,EIGENSCHAFTTABLEAU,COLUMN(Eigenschaften!$F$3))," ",VLOOKUP(R49,EIGENSCHAFTTABLEAU,COLUMN(Eigenschaften!$H$3))))</f>
        <v>AUS 1</v>
      </c>
      <c r="T49" s="194" t="str">
        <f>IF(VLOOKUP(R49,EIGENSCHAFTTABLEAU,COLUMN(Eigenschaften!$I$3))="","",CONCATENATE(IF(VLOOKUP(R49,EIGENSCHAFTTABLEAU,COLUMN(Eigenschaften!$J$3))&lt;2,"",CONCATENATE(VLOOKUP(R49,EIGENSCHAFTTABLEAU,COLUMN(Eigenschaften!$J$3)),MALSYMBOL)),VLOOKUP(R49,EIGENSCHAFTTABLEAU,COLUMN(Eigenschaften!$I$3))," ",VLOOKUP(R49,EIGENSCHAFTTABLEAU,COLUMN(Eigenschaften!$K$3))))</f>
        <v>INT 1</v>
      </c>
      <c r="U49" s="161">
        <v>0</v>
      </c>
      <c r="V49" s="229">
        <f>VLOOKUP(R49,EIGENSCHAFTTABLEAU,COLUMN(Eigenschaften!$M$3))</f>
        <v>0</v>
      </c>
      <c r="W49" s="93">
        <f>U49+VLOOKUP(R49,EIGENSCHAFTTABLEAU,COLUMN(Eigenschaften!$L$3))</f>
        <v>2</v>
      </c>
      <c r="X49" s="210">
        <f t="shared" si="3"/>
      </c>
      <c r="Y49" s="173"/>
      <c r="Z49" s="89"/>
    </row>
    <row r="50" spans="1:26" ht="12.75">
      <c r="A50" s="171"/>
      <c r="B50" s="98"/>
      <c r="C50" s="96" t="str">
        <f>MST</f>
        <v>Magieschule Stärkung</v>
      </c>
      <c r="D50" s="197" t="str">
        <f>IF(VLOOKUP(C50,EIGENSCHAFTTABLEAU,COLUMN(Eigenschaften!$F$3))="","",CONCATENATE(IF(VLOOKUP(C50,EIGENSCHAFTTABLEAU,COLUMN(Eigenschaften!$G$3))&lt;2,"",CONCATENATE(VLOOKUP(C50,EIGENSCHAFTTABLEAU,COLUMN(Eigenschaften!$G$3)),MALSYMBOL)),VLOOKUP(C50,EIGENSCHAFTTABLEAU,COLUMN(Eigenschaften!$F$3))," ",VLOOKUP(C50,EIGENSCHAFTTABLEAU,COLUMN(Eigenschaften!$H$3))))</f>
        <v>MYS 1</v>
      </c>
      <c r="E50" s="198" t="str">
        <f>IF(VLOOKUP(C50,EIGENSCHAFTTABLEAU,COLUMN(Eigenschaften!$I$3))="","",CONCATENATE(IF(VLOOKUP(C50,EIGENSCHAFTTABLEAU,COLUMN(Eigenschaften!$J$3))&lt;2,"",CONCATENATE(VLOOKUP(C50,EIGENSCHAFTTABLEAU,COLUMN(Eigenschaften!$J$3)),MALSYMBOL)),VLOOKUP(C50,EIGENSCHAFTTABLEAU,COLUMN(Eigenschaften!$I$3))," ",VLOOKUP(C50,EIGENSCHAFTTABLEAU,COLUMN(Eigenschaften!$K$3))))</f>
        <v>AUS 1</v>
      </c>
      <c r="F50" s="154">
        <v>0</v>
      </c>
      <c r="G50" s="232">
        <f>VLOOKUP(C50,EIGENSCHAFTTABLEAU,COLUMN(Eigenschaften!$M$3))</f>
        <v>0</v>
      </c>
      <c r="H50" s="109">
        <f>F50+G50+VLOOKUP(C50,EIGENSCHAFTTABLEAU,COLUMN(Eigenschaften!$L$3))</f>
        <v>2</v>
      </c>
      <c r="I50" s="89"/>
      <c r="J50" s="89"/>
      <c r="K50" s="89"/>
      <c r="L50" s="89"/>
      <c r="M50" s="89"/>
      <c r="N50" s="174">
        <f t="shared" si="4"/>
      </c>
      <c r="O50" s="89"/>
      <c r="P50" s="171"/>
      <c r="Q50" s="98"/>
      <c r="R50" s="187" t="str">
        <f>TIE</f>
        <v>Tierführung</v>
      </c>
      <c r="S50" s="197" t="str">
        <f>IF(VLOOKUP(R50,EIGENSCHAFTTABLEAU,COLUMN(Eigenschaften!$F$3))="","",CONCATENATE(IF(VLOOKUP(R50,EIGENSCHAFTTABLEAU,COLUMN(Eigenschaften!$G$3))&lt;2,"",CONCATENATE(VLOOKUP(R50,EIGENSCHAFTTABLEAU,COLUMN(Eigenschaften!$G$3)),MALSYMBOL)),VLOOKUP(R50,EIGENSCHAFTTABLEAU,COLUMN(Eigenschaften!$F$3))," ",VLOOKUP(R50,EIGENSCHAFTTABLEAU,COLUMN(Eigenschaften!$H$3))))</f>
        <v>BEW 1</v>
      </c>
      <c r="T50" s="198" t="str">
        <f>IF(VLOOKUP(R50,EIGENSCHAFTTABLEAU,COLUMN(Eigenschaften!$I$3))="","",CONCATENATE(IF(VLOOKUP(R50,EIGENSCHAFTTABLEAU,COLUMN(Eigenschaften!$J$3))&lt;2,"",CONCATENATE(VLOOKUP(R50,EIGENSCHAFTTABLEAU,COLUMN(Eigenschaften!$J$3)),MALSYMBOL)),VLOOKUP(R50,EIGENSCHAFTTABLEAU,COLUMN(Eigenschaften!$I$3))," ",VLOOKUP(R50,EIGENSCHAFTTABLEAU,COLUMN(Eigenschaften!$K$3))))</f>
        <v>AUS 1</v>
      </c>
      <c r="U50" s="162">
        <v>0</v>
      </c>
      <c r="V50" s="232">
        <f>VLOOKUP(R50,EIGENSCHAFTTABLEAU,COLUMN(Eigenschaften!$M$3))</f>
        <v>0</v>
      </c>
      <c r="W50" s="97">
        <f>U50+VLOOKUP(R50,EIGENSCHAFTTABLEAU,COLUMN(Eigenschaften!$L$3))</f>
        <v>2</v>
      </c>
      <c r="X50" s="210">
        <f t="shared" si="3"/>
      </c>
      <c r="Y50" s="173"/>
      <c r="Z50" s="89"/>
    </row>
    <row r="51" spans="1:26" ht="12.75">
      <c r="A51" s="171"/>
      <c r="B51" s="99"/>
      <c r="C51" s="100" t="str">
        <f>MZE</f>
        <v>Magieschule Zerstörung</v>
      </c>
      <c r="D51" s="195" t="str">
        <f>IF(VLOOKUP(C51,EIGENSCHAFTTABLEAU,COLUMN(Eigenschaften!$F$3))="","",CONCATENATE(IF(VLOOKUP(C51,EIGENSCHAFTTABLEAU,COLUMN(Eigenschaften!$G$3))&lt;2,"",CONCATENATE(VLOOKUP(C51,EIGENSCHAFTTABLEAU,COLUMN(Eigenschaften!$G$3)),MALSYMBOL)),VLOOKUP(C51,EIGENSCHAFTTABLEAU,COLUMN(Eigenschaften!$F$3))," ",VLOOKUP(C51,EIGENSCHAFTTABLEAU,COLUMN(Eigenschaften!$H$3))))</f>
        <v>MYS 1</v>
      </c>
      <c r="E51" s="196" t="str">
        <f>IF(VLOOKUP(C51,EIGENSCHAFTTABLEAU,COLUMN(Eigenschaften!$I$3))="","",CONCATENATE(IF(VLOOKUP(C51,EIGENSCHAFTTABLEAU,COLUMN(Eigenschaften!$J$3))&lt;2,"",CONCATENATE(VLOOKUP(C51,EIGENSCHAFTTABLEAU,COLUMN(Eigenschaften!$J$3)),MALSYMBOL)),VLOOKUP(C51,EIGENSCHAFTTABLEAU,COLUMN(Eigenschaften!$I$3))," ",VLOOKUP(C51,EIGENSCHAFTTABLEAU,COLUMN(Eigenschaften!$K$3))))</f>
        <v>KON 1</v>
      </c>
      <c r="F51" s="155">
        <v>0</v>
      </c>
      <c r="G51" s="233">
        <f>VLOOKUP(C51,EIGENSCHAFTTABLEAU,COLUMN(Eigenschaften!$M$3))</f>
        <v>0</v>
      </c>
      <c r="H51" s="110">
        <f>F51+G51+VLOOKUP(C51,EIGENSCHAFTTABLEAU,COLUMN(Eigenschaften!$L$3))</f>
        <v>2</v>
      </c>
      <c r="I51" s="89"/>
      <c r="J51" s="89"/>
      <c r="K51" s="89"/>
      <c r="L51" s="89"/>
      <c r="M51" s="89"/>
      <c r="N51" s="174">
        <f t="shared" si="4"/>
      </c>
      <c r="O51" s="89"/>
      <c r="P51" s="171"/>
      <c r="Q51" s="99"/>
      <c r="R51" s="188" t="str">
        <f>ÜBE</f>
        <v>Überleben</v>
      </c>
      <c r="S51" s="195" t="str">
        <f>IF(VLOOKUP(R51,EIGENSCHAFTTABLEAU,COLUMN(Eigenschaften!$F$3))="","",CONCATENATE(IF(VLOOKUP(R51,EIGENSCHAFTTABLEAU,COLUMN(Eigenschaften!$G$3))&lt;2,"",CONCATENATE(VLOOKUP(R51,EIGENSCHAFTTABLEAU,COLUMN(Eigenschaften!$G$3)),MALSYMBOL)),VLOOKUP(R51,EIGENSCHAFTTABLEAU,COLUMN(Eigenschaften!$F$3))," ",VLOOKUP(R51,EIGENSCHAFTTABLEAU,COLUMN(Eigenschaften!$H$3))))</f>
        <v>KON 1</v>
      </c>
      <c r="T51" s="196" t="str">
        <f>IF(VLOOKUP(R51,EIGENSCHAFTTABLEAU,COLUMN(Eigenschaften!$I$3))="","",CONCATENATE(IF(VLOOKUP(R51,EIGENSCHAFTTABLEAU,COLUMN(Eigenschaften!$J$3))&lt;2,"",CONCATENATE(VLOOKUP(R51,EIGENSCHAFTTABLEAU,COLUMN(Eigenschaften!$J$3)),MALSYMBOL)),VLOOKUP(R51,EIGENSCHAFTTABLEAU,COLUMN(Eigenschaften!$I$3))," ",VLOOKUP(R51,EIGENSCHAFTTABLEAU,COLUMN(Eigenschaften!$K$3))))</f>
        <v>INT 1</v>
      </c>
      <c r="U51" s="163">
        <v>0</v>
      </c>
      <c r="V51" s="233">
        <f>VLOOKUP(R51,EIGENSCHAFTTABLEAU,COLUMN(Eigenschaften!$M$3))</f>
        <v>0</v>
      </c>
      <c r="W51" s="101">
        <f>U51+VLOOKUP(R51,EIGENSCHAFTTABLEAU,COLUMN(Eigenschaften!$L$3))</f>
        <v>2</v>
      </c>
      <c r="X51" s="210">
        <f t="shared" si="3"/>
      </c>
      <c r="Y51" s="173"/>
      <c r="Z51" s="89"/>
    </row>
    <row r="52" spans="1:26" ht="13.5" thickBot="1">
      <c r="A52" s="175"/>
      <c r="B52" s="176"/>
      <c r="C52" s="176"/>
      <c r="D52" s="176"/>
      <c r="E52" s="176"/>
      <c r="F52" s="176"/>
      <c r="G52" s="176"/>
      <c r="H52" s="176"/>
      <c r="I52" s="176"/>
      <c r="J52" s="176"/>
      <c r="K52" s="176"/>
      <c r="L52" s="176"/>
      <c r="M52" s="176"/>
      <c r="N52" s="177"/>
      <c r="O52" s="89"/>
      <c r="P52" s="171"/>
      <c r="Q52" s="105"/>
      <c r="R52" s="106" t="str">
        <f>VHD</f>
        <v>Verhandeln</v>
      </c>
      <c r="S52" s="192">
        <f>IF(VLOOKUP(R52,EIGENSCHAFTTABLEAU,COLUMN(Eigenschaften!$F$3))="","",CONCATENATE(IF(VLOOKUP(R52,EIGENSCHAFTTABLEAU,COLUMN(Eigenschaften!$G$3))&lt;2,"",CONCATENATE(VLOOKUP(R52,EIGENSCHAFTTABLEAU,COLUMN(Eigenschaften!$G$3)),MALSYMBOL)),VLOOKUP(R52,EIGENSCHAFTTABLEAU,COLUMN(Eigenschaften!$F$3))," ",VLOOKUP(R52,EIGENSCHAFTTABLEAU,COLUMN(Eigenschaften!$H$3))))</f>
      </c>
      <c r="T52" s="192">
        <f>IF(VLOOKUP(R52,EIGENSCHAFTTABLEAU,COLUMN(Eigenschaften!$I$3))="","",CONCATENATE(IF(VLOOKUP(R52,EIGENSCHAFTTABLEAU,COLUMN(Eigenschaften!$J$3))&lt;2,"",CONCATENATE(VLOOKUP(R52,EIGENSCHAFTTABLEAU,COLUMN(Eigenschaften!$J$3)),MALSYMBOL)),VLOOKUP(R52,EIGENSCHAFTTABLEAU,COLUMN(Eigenschaften!$I$3))," ",VLOOKUP(R52,EIGENSCHAFTTABLEAU,COLUMN(Eigenschaften!$K$3))))</f>
      </c>
      <c r="U52" s="159">
        <v>0</v>
      </c>
      <c r="V52" s="239">
        <f>VLOOKUP(R52,EIGENSCHAFTTABLEAU,COLUMN(Eigenschaften!$M$3))</f>
        <v>0</v>
      </c>
      <c r="W52" s="107">
        <f>U52+VLOOKUP(R52,EIGENSCHAFTTABLEAU,COLUMN(Eigenschaften!$L$3))</f>
        <v>0</v>
      </c>
      <c r="X52" s="210">
        <f t="shared" si="3"/>
      </c>
      <c r="Y52" s="173"/>
      <c r="Z52" s="89"/>
    </row>
    <row r="53" spans="1:26" ht="13.5" thickTop="1">
      <c r="A53" s="89"/>
      <c r="M53" s="89"/>
      <c r="N53" s="89"/>
      <c r="O53" s="89"/>
      <c r="P53" s="171"/>
      <c r="Q53" s="105"/>
      <c r="R53" s="106" t="str">
        <f>WIS</f>
        <v>Wissenschaft</v>
      </c>
      <c r="S53" s="192">
        <f>IF(VLOOKUP(R53,EIGENSCHAFTTABLEAU,COLUMN(Eigenschaften!$F$3))="","",CONCATENATE(IF(VLOOKUP(R53,EIGENSCHAFTTABLEAU,COLUMN(Eigenschaften!$G$3))&lt;2,"",CONCATENATE(VLOOKUP(R53,EIGENSCHAFTTABLEAU,COLUMN(Eigenschaften!$G$3)),MALSYMBOL)),VLOOKUP(R53,EIGENSCHAFTTABLEAU,COLUMN(Eigenschaften!$F$3))," ",VLOOKUP(R53,EIGENSCHAFTTABLEAU,COLUMN(Eigenschaften!$H$3))))</f>
      </c>
      <c r="T53" s="192">
        <f>IF(VLOOKUP(R53,EIGENSCHAFTTABLEAU,COLUMN(Eigenschaften!$I$3))="","",CONCATENATE(IF(VLOOKUP(R53,EIGENSCHAFTTABLEAU,COLUMN(Eigenschaften!$J$3))&lt;2,"",CONCATENATE(VLOOKUP(R53,EIGENSCHAFTTABLEAU,COLUMN(Eigenschaften!$J$3)),MALSYMBOL)),VLOOKUP(R53,EIGENSCHAFTTABLEAU,COLUMN(Eigenschaften!$I$3))," ",VLOOKUP(R53,EIGENSCHAFTTABLEAU,COLUMN(Eigenschaften!$K$3))))</f>
      </c>
      <c r="U53" s="159">
        <v>0</v>
      </c>
      <c r="V53" s="239">
        <f>VLOOKUP(R53,EIGENSCHAFTTABLEAU,COLUMN(Eigenschaften!$M$3))</f>
        <v>0</v>
      </c>
      <c r="W53" s="107">
        <f>U53+VLOOKUP(R53,EIGENSCHAFTTABLEAU,COLUMN(Eigenschaften!$L$3))</f>
        <v>0</v>
      </c>
      <c r="X53" s="210">
        <f t="shared" si="3"/>
      </c>
      <c r="Y53" s="173"/>
      <c r="Z53" s="89"/>
    </row>
    <row r="54" spans="1:26" ht="12.75">
      <c r="A54" s="89"/>
      <c r="O54" s="89"/>
      <c r="P54" s="171"/>
      <c r="Q54" s="190"/>
      <c r="R54" s="191" t="str">
        <f>WAH</f>
        <v>Wahrnehmung</v>
      </c>
      <c r="S54" s="202" t="str">
        <f>IF(VLOOKUP(R54,EIGENSCHAFTTABLEAU,COLUMN(Eigenschaften!$F$3))="","",CONCATENATE(IF(VLOOKUP(R54,EIGENSCHAFTTABLEAU,COLUMN(Eigenschaften!$G$3))&lt;2,"",CONCATENATE(VLOOKUP(R54,EIGENSCHAFTTABLEAU,COLUMN(Eigenschaften!$G$3)),MALSYMBOL)),VLOOKUP(R54,EIGENSCHAFTTABLEAU,COLUMN(Eigenschaften!$F$3))," ",VLOOKUP(R54,EIGENSCHAFTTABLEAU,COLUMN(Eigenschaften!$H$3))))</f>
        <v>WIL 1</v>
      </c>
      <c r="T54" s="203" t="str">
        <f>IF(VLOOKUP(R54,EIGENSCHAFTTABLEAU,COLUMN(Eigenschaften!$I$3))="","",CONCATENATE(IF(VLOOKUP(R54,EIGENSCHAFTTABLEAU,COLUMN(Eigenschaften!$J$3))&lt;2,"",CONCATENATE(VLOOKUP(R54,EIGENSCHAFTTABLEAU,COLUMN(Eigenschaften!$J$3)),MALSYMBOL)),VLOOKUP(R54,EIGENSCHAFTTABLEAU,COLUMN(Eigenschaften!$I$3))," ",VLOOKUP(R54,EIGENSCHAFTTABLEAU,COLUMN(Eigenschaften!$K$3))))</f>
        <v>INT 1</v>
      </c>
      <c r="U54" s="189">
        <v>0</v>
      </c>
      <c r="V54" s="240">
        <f>VLOOKUP(R54,EIGENSCHAFTTABLEAU,COLUMN(Eigenschaften!$M$3))</f>
        <v>0</v>
      </c>
      <c r="W54" s="111">
        <f>U54+VLOOKUP(R54,EIGENSCHAFTTABLEAU,COLUMN(Eigenschaften!$L$3))</f>
        <v>2</v>
      </c>
      <c r="X54" s="210">
        <f t="shared" si="3"/>
      </c>
      <c r="Y54" s="173"/>
      <c r="Z54" s="89"/>
    </row>
    <row r="55" spans="15:25" ht="13.5" thickBot="1">
      <c r="O55" s="89"/>
      <c r="P55" s="175"/>
      <c r="Q55" s="176"/>
      <c r="R55" s="176"/>
      <c r="S55" s="176"/>
      <c r="T55" s="176"/>
      <c r="U55" s="176"/>
      <c r="V55" s="176"/>
      <c r="W55" s="176"/>
      <c r="X55" s="176"/>
      <c r="Y55" s="177"/>
    </row>
    <row r="56" ht="13.5" thickTop="1"/>
  </sheetData>
  <sheetProtection sheet="1"/>
  <mergeCells count="17">
    <mergeCell ref="B3:E3"/>
    <mergeCell ref="B4:E4"/>
    <mergeCell ref="B19:C19"/>
    <mergeCell ref="B20:C20"/>
    <mergeCell ref="B22:C22"/>
    <mergeCell ref="B23:C23"/>
    <mergeCell ref="B15:C15"/>
    <mergeCell ref="B16:C16"/>
    <mergeCell ref="B17:C17"/>
    <mergeCell ref="B21:C21"/>
    <mergeCell ref="S9:X9"/>
    <mergeCell ref="S8:X8"/>
    <mergeCell ref="B18:C18"/>
    <mergeCell ref="F8:K8"/>
    <mergeCell ref="F9:K9"/>
    <mergeCell ref="S10:X10"/>
    <mergeCell ref="F10:K10"/>
  </mergeCells>
  <conditionalFormatting sqref="H46:H51 H35:H36 H28:H32 M29:M32 H39:H41">
    <cfRule type="cellIs" priority="38" dxfId="2" operator="equal" stopIfTrue="1">
      <formula>VLOOKUP($C28,FERTIGKEITTABLEAU,5)</formula>
    </cfRule>
  </conditionalFormatting>
  <conditionalFormatting sqref="M39 M28">
    <cfRule type="cellIs" priority="40" dxfId="2" operator="equal" stopIfTrue="1">
      <formula>VLOOKUP($C17,FERTIGKEITTABLEAU,5)</formula>
    </cfRule>
  </conditionalFormatting>
  <conditionalFormatting sqref="W28:W54">
    <cfRule type="cellIs" priority="36" dxfId="2" operator="equal" stopIfTrue="1">
      <formula>VLOOKUP($R28,FERTIGKEITTABLEAU,5)</formula>
    </cfRule>
  </conditionalFormatting>
  <conditionalFormatting sqref="H33:H34">
    <cfRule type="cellIs" priority="42" dxfId="2" operator="equal" stopIfTrue="1">
      <formula>VLOOKUP($R40,FERTIGKEITTABLEAU,5)</formula>
    </cfRule>
  </conditionalFormatting>
  <conditionalFormatting sqref="M40">
    <cfRule type="cellIs" priority="43" dxfId="2" operator="equal" stopIfTrue="1">
      <formula>VLOOKUP($C36,FERTIGKEITTABLEAU,5)</formula>
    </cfRule>
  </conditionalFormatting>
  <conditionalFormatting sqref="U3:U4">
    <cfRule type="cellIs" priority="44" dxfId="18" operator="notEqual" stopIfTrue="1">
      <formula>0</formula>
    </cfRule>
  </conditionalFormatting>
  <conditionalFormatting sqref="G33:G34 F39:F41 V52:V53 U28:U54 V32:V33 V39:V43 V47:V48 F28:F36 F46:F51">
    <cfRule type="cellIs" priority="45" dxfId="0" operator="greaterThan" stopIfTrue="1">
      <formula>MAXIMUMFERTIGKEITABSOLUT</formula>
    </cfRule>
    <cfRule type="cellIs" priority="46" dxfId="5" operator="greaterThan" stopIfTrue="1">
      <formula>MAXIMUMFERTIGKEITGENERIERUNG</formula>
    </cfRule>
    <cfRule type="cellIs" priority="47" dxfId="15" operator="greaterThanOrEqual" stopIfTrue="1">
      <formula>MEISTERSCHAFTSCHWELLWERT</formula>
    </cfRule>
  </conditionalFormatting>
  <conditionalFormatting sqref="M41">
    <cfRule type="cellIs" priority="48" dxfId="2" operator="equal" stopIfTrue="1">
      <formula>VLOOKUP(#REF!,FERTIGKEITTABLEAU,5)</formula>
    </cfRule>
  </conditionalFormatting>
  <conditionalFormatting sqref="F15:G23">
    <cfRule type="cellIs" priority="49" dxfId="0" operator="greaterThan" stopIfTrue="1">
      <formula>MAXIMUMATTRIBUTABSOLUT</formula>
    </cfRule>
    <cfRule type="cellIs" priority="50" dxfId="5" operator="greaterThan" stopIfTrue="1">
      <formula>MAXIMUMATTRIBUTGENERIERUNG</formula>
    </cfRule>
  </conditionalFormatting>
  <conditionalFormatting sqref="F3:F4">
    <cfRule type="cellIs" priority="51" dxfId="0" operator="lessThan" stopIfTrue="1">
      <formula>0</formula>
    </cfRule>
    <cfRule type="cellIs" priority="52" dxfId="3" operator="greaterThan" stopIfTrue="1">
      <formula>0</formula>
    </cfRule>
  </conditionalFormatting>
  <conditionalFormatting sqref="V15:V19">
    <cfRule type="cellIs" priority="2" dxfId="9" operator="lessThan" stopIfTrue="1">
      <formula>0</formula>
    </cfRule>
  </conditionalFormatting>
  <dataValidations count="6">
    <dataValidation type="list" allowBlank="1" showInputMessage="1" sqref="S10">
      <formula1>SPLITTERFÄHIGKEITLISTE</formula1>
    </dataValidation>
    <dataValidation type="whole" operator="greaterThanOrEqual" allowBlank="1" showInputMessage="1" showErrorMessage="1" errorTitle="FEHLER" error="Fertigkeiten müssen ganze Zahlen sein und mindestens einen Wert von &quot;0&quot; haben." sqref="G33:G36 F39:G41 U49:U51 U28:U31 U44:U46 U54:V54 V15:V19 U34:U38 V28:V53 V21:V23 F28:G32 F46:G51 F35:F36">
      <formula1>MINIMUMFERTIGKEIT</formula1>
    </dataValidation>
    <dataValidation errorStyle="information" type="list" allowBlank="1" showInputMessage="1" sqref="S8">
      <formula1>KULTURLISTE</formula1>
    </dataValidation>
    <dataValidation type="list" allowBlank="1" showInputMessage="1" sqref="S9">
      <formula1>AUSBILDUNGLISTE</formula1>
    </dataValidation>
    <dataValidation type="list" allowBlank="1" showInputMessage="1" sqref="F9">
      <formula1>RASSELISTE</formula1>
    </dataValidation>
    <dataValidation type="list" allowBlank="1" showInputMessage="1" showErrorMessage="1" sqref="F10:K10">
      <formula1>GESCHLECHTLISTE</formula1>
    </dataValidation>
  </dataValidations>
  <printOptions/>
  <pageMargins left="0.3937007874015748" right="0.3937007874015748" top="0.5905511811023623" bottom="0.5905511811023623" header="0.3937007874015748" footer="0.3937007874015748"/>
  <pageSetup fitToHeight="1" fitToWidth="1" horizontalDpi="300" verticalDpi="300" orientation="portrait" paperSize="9" scale="63" r:id="rId3"/>
  <headerFooter alignWithMargins="0">
    <oddHeader>&amp;R&amp;"Verdana,Standard"&amp;8Splittermond - Charakter-Generator (Beta) - v.1.1</oddHeader>
    <oddFooter>&amp;L&amp;"Verdana,Standard"&amp;8Marcus Renner - 18.06.2013</oddFooter>
  </headerFooter>
  <ignoredErrors>
    <ignoredError sqref="N29:N32 N44:N45 N28 L28:L37 G28:G32 G15:G23 N46:N51 V38 V33:V37 V44:V45 V39:V42 V46:V51 V52:V54 G46:G51 G44:G45 V28:V32 G33:G37 G43 V43 U3:U5 V20 V15:V19 V21:V23 L39:L41 G39:G41" unlockedFormula="1"/>
  </ignoredErrors>
  <drawing r:id="rId2"/>
  <legacyDrawing r:id="rId1"/>
</worksheet>
</file>

<file path=xl/worksheets/sheet4.xml><?xml version="1.0" encoding="utf-8"?>
<worksheet xmlns="http://schemas.openxmlformats.org/spreadsheetml/2006/main" xmlns:r="http://schemas.openxmlformats.org/officeDocument/2006/relationships">
  <sheetPr>
    <tabColor indexed="43"/>
    <pageSetUpPr fitToPage="1"/>
  </sheetPr>
  <dimension ref="A1:J41"/>
  <sheetViews>
    <sheetView showGridLines="0" zoomScalePageLayoutView="0" workbookViewId="0" topLeftCell="A1">
      <pane xSplit="4" ySplit="6" topLeftCell="E7" activePane="bottomRight" state="frozen"/>
      <selection pane="topLeft" activeCell="A4" sqref="A4"/>
      <selection pane="topRight" activeCell="A4" sqref="A4"/>
      <selection pane="bottomLeft" activeCell="A4" sqref="A4"/>
      <selection pane="bottomRight" activeCell="E7" sqref="E7"/>
    </sheetView>
  </sheetViews>
  <sheetFormatPr defaultColWidth="11.421875" defaultRowHeight="12.75"/>
  <cols>
    <col min="1" max="1" width="6.421875" style="88" bestFit="1" customWidth="1"/>
    <col min="2" max="2" width="8.00390625" style="88" bestFit="1" customWidth="1"/>
    <col min="3" max="3" width="25.140625" style="88" customWidth="1"/>
    <col min="4" max="4" width="9.421875" style="88" bestFit="1" customWidth="1"/>
    <col min="5" max="5" width="85.7109375" style="88" customWidth="1"/>
    <col min="6" max="6" width="9.421875" style="88" bestFit="1" customWidth="1"/>
    <col min="7" max="7" width="15.7109375" style="88" bestFit="1" customWidth="1"/>
    <col min="8" max="16384" width="11.421875" style="88" customWidth="1"/>
  </cols>
  <sheetData>
    <row r="1" spans="1:10" s="226" customFormat="1" ht="19.5">
      <c r="A1" s="225" t="s">
        <v>498</v>
      </c>
      <c r="B1" s="225"/>
      <c r="C1" s="225"/>
      <c r="D1" s="225"/>
      <c r="E1" s="225"/>
      <c r="F1" s="225"/>
      <c r="G1" s="225"/>
      <c r="H1" s="225"/>
      <c r="I1" s="225"/>
      <c r="J1" s="88"/>
    </row>
    <row r="2" s="89" customFormat="1" ht="13.5" thickBot="1"/>
    <row r="3" spans="2:5" s="89" customFormat="1" ht="14.25" thickBot="1" thickTop="1">
      <c r="B3" s="319" t="str">
        <f>'GENERIERUNG WERTE'!B3</f>
        <v>Attribut-Punkte</v>
      </c>
      <c r="C3" s="319"/>
      <c r="D3" s="242">
        <f>'GENERIERUNG WERTE'!F3</f>
        <v>11</v>
      </c>
      <c r="E3" s="243">
        <f>COUNTIF(G7:G41,"&gt;0")</f>
        <v>0</v>
      </c>
    </row>
    <row r="4" spans="2:5" s="89" customFormat="1" ht="14.25" thickBot="1" thickTop="1">
      <c r="B4" s="319" t="str">
        <f>'GENERIERUNG WERTE'!B4</f>
        <v>Erfahrungs-Punkte</v>
      </c>
      <c r="C4" s="319"/>
      <c r="D4" s="242">
        <f>'GENERIERUNG WERTE'!F4</f>
        <v>60</v>
      </c>
      <c r="E4" s="140"/>
    </row>
    <row r="5" s="89" customFormat="1" ht="13.5" thickTop="1">
      <c r="B5" s="115"/>
    </row>
    <row r="6" spans="1:7" ht="12.75">
      <c r="A6" s="244" t="s">
        <v>356</v>
      </c>
      <c r="B6" s="244" t="s">
        <v>185</v>
      </c>
      <c r="C6" s="244" t="s">
        <v>237</v>
      </c>
      <c r="D6" s="244" t="s">
        <v>337</v>
      </c>
      <c r="E6" s="244" t="s">
        <v>238</v>
      </c>
      <c r="F6" s="245" t="s">
        <v>336</v>
      </c>
      <c r="G6" s="245" t="s">
        <v>339</v>
      </c>
    </row>
    <row r="7" spans="1:7" ht="29.25">
      <c r="A7" s="246"/>
      <c r="B7" s="247" t="s">
        <v>181</v>
      </c>
      <c r="C7" s="247" t="s">
        <v>67</v>
      </c>
      <c r="D7" s="248">
        <f aca="true" t="shared" si="0" ref="D7:D41">VORTEILPAUSCHALKOSTEN</f>
        <v>2</v>
      </c>
      <c r="E7" s="247" t="s">
        <v>81</v>
      </c>
      <c r="F7" s="112" t="b">
        <v>0</v>
      </c>
      <c r="G7" s="113">
        <f aca="true" t="shared" si="1" ref="G7:G41">IF(OR(B7=RASSE,F7=TRUE),D7,0)</f>
        <v>0</v>
      </c>
    </row>
    <row r="8" spans="1:7" ht="29.25">
      <c r="A8" s="246"/>
      <c r="B8" s="249" t="s">
        <v>335</v>
      </c>
      <c r="C8" s="249" t="s">
        <v>63</v>
      </c>
      <c r="D8" s="250">
        <f t="shared" si="0"/>
        <v>2</v>
      </c>
      <c r="E8" s="249" t="s">
        <v>77</v>
      </c>
      <c r="F8" s="112" t="b">
        <v>0</v>
      </c>
      <c r="G8" s="113">
        <f t="shared" si="1"/>
        <v>0</v>
      </c>
    </row>
    <row r="9" spans="1:7" ht="29.25">
      <c r="A9" s="246"/>
      <c r="B9" s="247" t="s">
        <v>335</v>
      </c>
      <c r="C9" s="247" t="s">
        <v>466</v>
      </c>
      <c r="D9" s="248">
        <f t="shared" si="0"/>
        <v>2</v>
      </c>
      <c r="E9" s="247" t="s">
        <v>83</v>
      </c>
      <c r="F9" s="112" t="b">
        <v>0</v>
      </c>
      <c r="G9" s="113">
        <f t="shared" si="1"/>
        <v>0</v>
      </c>
    </row>
    <row r="10" spans="1:7" ht="29.25">
      <c r="A10" s="246"/>
      <c r="B10" s="249" t="s">
        <v>335</v>
      </c>
      <c r="C10" s="249" t="s">
        <v>29</v>
      </c>
      <c r="D10" s="250">
        <f t="shared" si="0"/>
        <v>2</v>
      </c>
      <c r="E10" s="249" t="s">
        <v>34</v>
      </c>
      <c r="F10" s="112" t="b">
        <v>0</v>
      </c>
      <c r="G10" s="113">
        <f t="shared" si="1"/>
        <v>0</v>
      </c>
    </row>
    <row r="11" spans="1:7" ht="29.25">
      <c r="A11" s="246"/>
      <c r="B11" s="247" t="s">
        <v>335</v>
      </c>
      <c r="C11" s="247" t="s">
        <v>68</v>
      </c>
      <c r="D11" s="248">
        <f t="shared" si="0"/>
        <v>2</v>
      </c>
      <c r="E11" s="247" t="s">
        <v>82</v>
      </c>
      <c r="F11" s="112" t="b">
        <v>0</v>
      </c>
      <c r="G11" s="113">
        <f t="shared" si="1"/>
        <v>0</v>
      </c>
    </row>
    <row r="12" spans="1:7" ht="29.25">
      <c r="A12" s="246"/>
      <c r="B12" s="249" t="s">
        <v>335</v>
      </c>
      <c r="C12" s="249" t="s">
        <v>28</v>
      </c>
      <c r="D12" s="250">
        <f t="shared" si="0"/>
        <v>2</v>
      </c>
      <c r="E12" s="249" t="s">
        <v>50</v>
      </c>
      <c r="F12" s="112" t="b">
        <v>0</v>
      </c>
      <c r="G12" s="113">
        <f t="shared" si="1"/>
        <v>0</v>
      </c>
    </row>
    <row r="13" spans="1:7" ht="38.25">
      <c r="A13" s="246"/>
      <c r="B13" s="247" t="s">
        <v>335</v>
      </c>
      <c r="C13" s="247" t="s">
        <v>32</v>
      </c>
      <c r="D13" s="248">
        <f t="shared" si="0"/>
        <v>2</v>
      </c>
      <c r="E13" s="247" t="s">
        <v>36</v>
      </c>
      <c r="F13" s="112" t="b">
        <v>0</v>
      </c>
      <c r="G13" s="113">
        <f t="shared" si="1"/>
        <v>0</v>
      </c>
    </row>
    <row r="14" spans="1:7" ht="29.25">
      <c r="A14" s="246"/>
      <c r="B14" s="249" t="s">
        <v>182</v>
      </c>
      <c r="C14" s="249" t="s">
        <v>41</v>
      </c>
      <c r="D14" s="250">
        <f t="shared" si="0"/>
        <v>2</v>
      </c>
      <c r="E14" s="249" t="s">
        <v>45</v>
      </c>
      <c r="F14" s="112" t="b">
        <v>0</v>
      </c>
      <c r="G14" s="113">
        <f t="shared" si="1"/>
        <v>0</v>
      </c>
    </row>
    <row r="15" spans="1:7" ht="29.25">
      <c r="A15" s="246"/>
      <c r="B15" s="247" t="s">
        <v>335</v>
      </c>
      <c r="C15" s="247" t="s">
        <v>59</v>
      </c>
      <c r="D15" s="248">
        <f t="shared" si="0"/>
        <v>2</v>
      </c>
      <c r="E15" s="247" t="s">
        <v>73</v>
      </c>
      <c r="F15" s="112" t="b">
        <v>0</v>
      </c>
      <c r="G15" s="113">
        <f t="shared" si="1"/>
        <v>0</v>
      </c>
    </row>
    <row r="16" spans="1:7" ht="29.25">
      <c r="A16" s="246"/>
      <c r="B16" s="249" t="s">
        <v>335</v>
      </c>
      <c r="C16" s="249" t="s">
        <v>58</v>
      </c>
      <c r="D16" s="250">
        <f t="shared" si="0"/>
        <v>2</v>
      </c>
      <c r="E16" s="249" t="s">
        <v>72</v>
      </c>
      <c r="F16" s="112" t="b">
        <v>0</v>
      </c>
      <c r="G16" s="113">
        <f t="shared" si="1"/>
        <v>0</v>
      </c>
    </row>
    <row r="17" spans="1:7" ht="29.25">
      <c r="A17" s="246"/>
      <c r="B17" s="247" t="s">
        <v>335</v>
      </c>
      <c r="C17" s="247" t="s">
        <v>39</v>
      </c>
      <c r="D17" s="248">
        <f t="shared" si="0"/>
        <v>2</v>
      </c>
      <c r="E17" s="247" t="s">
        <v>49</v>
      </c>
      <c r="F17" s="112" t="b">
        <v>0</v>
      </c>
      <c r="G17" s="113">
        <f t="shared" si="1"/>
        <v>0</v>
      </c>
    </row>
    <row r="18" spans="1:7" ht="29.25">
      <c r="A18" s="246"/>
      <c r="B18" s="249" t="s">
        <v>335</v>
      </c>
      <c r="C18" s="249" t="s">
        <v>42</v>
      </c>
      <c r="D18" s="250">
        <f t="shared" si="0"/>
        <v>2</v>
      </c>
      <c r="E18" s="249" t="s">
        <v>47</v>
      </c>
      <c r="F18" s="112" t="b">
        <v>0</v>
      </c>
      <c r="G18" s="113">
        <f t="shared" si="1"/>
        <v>0</v>
      </c>
    </row>
    <row r="19" spans="1:7" ht="29.25">
      <c r="A19" s="246"/>
      <c r="B19" s="247" t="s">
        <v>335</v>
      </c>
      <c r="C19" s="247" t="s">
        <v>246</v>
      </c>
      <c r="D19" s="248">
        <f t="shared" si="0"/>
        <v>2</v>
      </c>
      <c r="E19" s="247" t="s">
        <v>247</v>
      </c>
      <c r="F19" s="112" t="b">
        <v>0</v>
      </c>
      <c r="G19" s="113">
        <f t="shared" si="1"/>
        <v>0</v>
      </c>
    </row>
    <row r="20" spans="1:7" ht="29.25">
      <c r="A20" s="246"/>
      <c r="B20" s="249" t="s">
        <v>182</v>
      </c>
      <c r="C20" s="249" t="s">
        <v>40</v>
      </c>
      <c r="D20" s="250">
        <f t="shared" si="0"/>
        <v>2</v>
      </c>
      <c r="E20" s="249" t="s">
        <v>46</v>
      </c>
      <c r="F20" s="112" t="b">
        <v>0</v>
      </c>
      <c r="G20" s="113">
        <f t="shared" si="1"/>
        <v>0</v>
      </c>
    </row>
    <row r="21" spans="1:7" ht="29.25">
      <c r="A21" s="246"/>
      <c r="B21" s="247" t="s">
        <v>335</v>
      </c>
      <c r="C21" s="247" t="s">
        <v>239</v>
      </c>
      <c r="D21" s="248">
        <f t="shared" si="0"/>
        <v>2</v>
      </c>
      <c r="E21" s="247" t="s">
        <v>240</v>
      </c>
      <c r="F21" s="112" t="b">
        <v>0</v>
      </c>
      <c r="G21" s="113">
        <f t="shared" si="1"/>
        <v>0</v>
      </c>
    </row>
    <row r="22" spans="1:7" ht="29.25">
      <c r="A22" s="246"/>
      <c r="B22" s="249" t="s">
        <v>181</v>
      </c>
      <c r="C22" s="249" t="s">
        <v>66</v>
      </c>
      <c r="D22" s="250">
        <f t="shared" si="0"/>
        <v>2</v>
      </c>
      <c r="E22" s="249" t="s">
        <v>80</v>
      </c>
      <c r="F22" s="112" t="b">
        <v>0</v>
      </c>
      <c r="G22" s="113">
        <f t="shared" si="1"/>
        <v>0</v>
      </c>
    </row>
    <row r="23" spans="1:7" ht="38.25">
      <c r="A23" s="246"/>
      <c r="B23" s="247" t="s">
        <v>335</v>
      </c>
      <c r="C23" s="247" t="s">
        <v>44</v>
      </c>
      <c r="D23" s="248">
        <f t="shared" si="0"/>
        <v>2</v>
      </c>
      <c r="E23" s="247" t="s">
        <v>364</v>
      </c>
      <c r="F23" s="112" t="b">
        <v>0</v>
      </c>
      <c r="G23" s="113">
        <f t="shared" si="1"/>
        <v>0</v>
      </c>
    </row>
    <row r="24" spans="1:7" ht="29.25">
      <c r="A24" s="246"/>
      <c r="B24" s="249" t="s">
        <v>181</v>
      </c>
      <c r="C24" s="249" t="s">
        <v>65</v>
      </c>
      <c r="D24" s="250">
        <f t="shared" si="0"/>
        <v>2</v>
      </c>
      <c r="E24" s="249" t="s">
        <v>79</v>
      </c>
      <c r="F24" s="112" t="b">
        <v>0</v>
      </c>
      <c r="G24" s="113">
        <f t="shared" si="1"/>
        <v>0</v>
      </c>
    </row>
    <row r="25" spans="1:7" ht="29.25">
      <c r="A25" s="246"/>
      <c r="B25" s="247" t="s">
        <v>184</v>
      </c>
      <c r="C25" s="247" t="s">
        <v>236</v>
      </c>
      <c r="D25" s="248">
        <f t="shared" si="0"/>
        <v>2</v>
      </c>
      <c r="E25" s="247" t="s">
        <v>84</v>
      </c>
      <c r="F25" s="112" t="b">
        <v>0</v>
      </c>
      <c r="G25" s="113">
        <f t="shared" si="1"/>
        <v>0</v>
      </c>
    </row>
    <row r="26" spans="1:7" ht="29.25">
      <c r="A26" s="246"/>
      <c r="B26" s="249" t="s">
        <v>335</v>
      </c>
      <c r="C26" s="249" t="s">
        <v>244</v>
      </c>
      <c r="D26" s="250">
        <f t="shared" si="0"/>
        <v>2</v>
      </c>
      <c r="E26" s="249" t="s">
        <v>245</v>
      </c>
      <c r="F26" s="112" t="b">
        <v>0</v>
      </c>
      <c r="G26" s="113">
        <f t="shared" si="1"/>
        <v>0</v>
      </c>
    </row>
    <row r="27" spans="1:7" ht="29.25">
      <c r="A27" s="246"/>
      <c r="B27" s="247" t="s">
        <v>335</v>
      </c>
      <c r="C27" s="247" t="s">
        <v>57</v>
      </c>
      <c r="D27" s="248">
        <f t="shared" si="0"/>
        <v>2</v>
      </c>
      <c r="E27" s="247" t="s">
        <v>71</v>
      </c>
      <c r="F27" s="112" t="b">
        <v>0</v>
      </c>
      <c r="G27" s="113">
        <f t="shared" si="1"/>
        <v>0</v>
      </c>
    </row>
    <row r="28" spans="1:7" ht="29.25">
      <c r="A28" s="246"/>
      <c r="B28" s="249" t="s">
        <v>184</v>
      </c>
      <c r="C28" s="249" t="s">
        <v>242</v>
      </c>
      <c r="D28" s="250">
        <f t="shared" si="0"/>
        <v>2</v>
      </c>
      <c r="E28" s="249" t="s">
        <v>365</v>
      </c>
      <c r="F28" s="112" t="b">
        <v>0</v>
      </c>
      <c r="G28" s="113">
        <f t="shared" si="1"/>
        <v>0</v>
      </c>
    </row>
    <row r="29" spans="1:7" ht="29.25">
      <c r="A29" s="246"/>
      <c r="B29" s="247" t="s">
        <v>335</v>
      </c>
      <c r="C29" s="247" t="s">
        <v>56</v>
      </c>
      <c r="D29" s="248">
        <f t="shared" si="0"/>
        <v>2</v>
      </c>
      <c r="E29" s="247" t="s">
        <v>70</v>
      </c>
      <c r="F29" s="112" t="b">
        <v>0</v>
      </c>
      <c r="G29" s="113">
        <f t="shared" si="1"/>
        <v>0</v>
      </c>
    </row>
    <row r="30" spans="1:7" ht="29.25">
      <c r="A30" s="246"/>
      <c r="B30" s="249" t="s">
        <v>335</v>
      </c>
      <c r="C30" s="249" t="s">
        <v>31</v>
      </c>
      <c r="D30" s="250">
        <f t="shared" si="0"/>
        <v>2</v>
      </c>
      <c r="E30" s="249" t="s">
        <v>35</v>
      </c>
      <c r="F30" s="112" t="b">
        <v>0</v>
      </c>
      <c r="G30" s="113">
        <f t="shared" si="1"/>
        <v>0</v>
      </c>
    </row>
    <row r="31" spans="1:7" ht="29.25">
      <c r="A31" s="246"/>
      <c r="B31" s="247" t="s">
        <v>335</v>
      </c>
      <c r="C31" s="247" t="s">
        <v>60</v>
      </c>
      <c r="D31" s="248">
        <f t="shared" si="0"/>
        <v>2</v>
      </c>
      <c r="E31" s="247" t="s">
        <v>74</v>
      </c>
      <c r="F31" s="112" t="b">
        <v>0</v>
      </c>
      <c r="G31" s="113">
        <f t="shared" si="1"/>
        <v>0</v>
      </c>
    </row>
    <row r="32" spans="1:7" ht="29.25">
      <c r="A32" s="246"/>
      <c r="B32" s="249" t="s">
        <v>184</v>
      </c>
      <c r="C32" s="249" t="s">
        <v>241</v>
      </c>
      <c r="D32" s="250">
        <f t="shared" si="0"/>
        <v>2</v>
      </c>
      <c r="E32" s="249" t="s">
        <v>243</v>
      </c>
      <c r="F32" s="112" t="b">
        <v>0</v>
      </c>
      <c r="G32" s="113">
        <f t="shared" si="1"/>
        <v>0</v>
      </c>
    </row>
    <row r="33" spans="1:7" ht="29.25">
      <c r="A33" s="246"/>
      <c r="B33" s="247" t="s">
        <v>335</v>
      </c>
      <c r="C33" s="247" t="s">
        <v>30</v>
      </c>
      <c r="D33" s="248">
        <f t="shared" si="0"/>
        <v>2</v>
      </c>
      <c r="E33" s="247" t="s">
        <v>38</v>
      </c>
      <c r="F33" s="112" t="b">
        <v>0</v>
      </c>
      <c r="G33" s="113">
        <f t="shared" si="1"/>
        <v>0</v>
      </c>
    </row>
    <row r="34" spans="1:7" ht="29.25">
      <c r="A34" s="246"/>
      <c r="B34" s="249" t="s">
        <v>335</v>
      </c>
      <c r="C34" s="249" t="s">
        <v>248</v>
      </c>
      <c r="D34" s="250">
        <f t="shared" si="0"/>
        <v>2</v>
      </c>
      <c r="E34" s="249" t="s">
        <v>249</v>
      </c>
      <c r="F34" s="112" t="b">
        <v>0</v>
      </c>
      <c r="G34" s="113">
        <f t="shared" si="1"/>
        <v>0</v>
      </c>
    </row>
    <row r="35" spans="1:7" ht="29.25">
      <c r="A35" s="246"/>
      <c r="B35" s="247" t="s">
        <v>335</v>
      </c>
      <c r="C35" s="247" t="s">
        <v>64</v>
      </c>
      <c r="D35" s="248">
        <f t="shared" si="0"/>
        <v>2</v>
      </c>
      <c r="E35" s="247" t="s">
        <v>78</v>
      </c>
      <c r="F35" s="112" t="b">
        <v>0</v>
      </c>
      <c r="G35" s="113">
        <f t="shared" si="1"/>
        <v>0</v>
      </c>
    </row>
    <row r="36" spans="1:7" ht="29.25">
      <c r="A36" s="246"/>
      <c r="B36" s="249" t="s">
        <v>335</v>
      </c>
      <c r="C36" s="249" t="s">
        <v>250</v>
      </c>
      <c r="D36" s="250">
        <f t="shared" si="0"/>
        <v>2</v>
      </c>
      <c r="E36" s="249" t="s">
        <v>251</v>
      </c>
      <c r="F36" s="112" t="b">
        <v>0</v>
      </c>
      <c r="G36" s="113">
        <f t="shared" si="1"/>
        <v>0</v>
      </c>
    </row>
    <row r="37" spans="1:7" ht="29.25">
      <c r="A37" s="246"/>
      <c r="B37" s="247" t="s">
        <v>180</v>
      </c>
      <c r="C37" s="247" t="s">
        <v>27</v>
      </c>
      <c r="D37" s="248">
        <f t="shared" si="0"/>
        <v>2</v>
      </c>
      <c r="E37" s="247" t="s">
        <v>33</v>
      </c>
      <c r="F37" s="112" t="b">
        <v>0</v>
      </c>
      <c r="G37" s="113">
        <f t="shared" si="1"/>
        <v>0</v>
      </c>
    </row>
    <row r="38" spans="1:7" ht="29.25">
      <c r="A38" s="246"/>
      <c r="B38" s="249" t="s">
        <v>335</v>
      </c>
      <c r="C38" s="249" t="s">
        <v>43</v>
      </c>
      <c r="D38" s="250">
        <f t="shared" si="0"/>
        <v>2</v>
      </c>
      <c r="E38" s="249" t="s">
        <v>48</v>
      </c>
      <c r="F38" s="112" t="b">
        <v>0</v>
      </c>
      <c r="G38" s="113">
        <f t="shared" si="1"/>
        <v>0</v>
      </c>
    </row>
    <row r="39" spans="1:7" ht="29.25">
      <c r="A39" s="246"/>
      <c r="B39" s="247" t="s">
        <v>335</v>
      </c>
      <c r="C39" s="247" t="s">
        <v>69</v>
      </c>
      <c r="D39" s="248">
        <f t="shared" si="0"/>
        <v>2</v>
      </c>
      <c r="E39" s="247" t="s">
        <v>338</v>
      </c>
      <c r="F39" s="112" t="b">
        <v>0</v>
      </c>
      <c r="G39" s="113">
        <f t="shared" si="1"/>
        <v>0</v>
      </c>
    </row>
    <row r="40" spans="1:7" ht="38.25">
      <c r="A40" s="246"/>
      <c r="B40" s="249" t="s">
        <v>183</v>
      </c>
      <c r="C40" s="249" t="s">
        <v>62</v>
      </c>
      <c r="D40" s="250">
        <f t="shared" si="0"/>
        <v>2</v>
      </c>
      <c r="E40" s="249" t="s">
        <v>76</v>
      </c>
      <c r="F40" s="112" t="b">
        <v>0</v>
      </c>
      <c r="G40" s="113">
        <f t="shared" si="1"/>
        <v>0</v>
      </c>
    </row>
    <row r="41" spans="1:7" ht="33.75" customHeight="1">
      <c r="A41" s="246"/>
      <c r="B41" s="247" t="s">
        <v>183</v>
      </c>
      <c r="C41" s="247" t="s">
        <v>61</v>
      </c>
      <c r="D41" s="248">
        <f t="shared" si="0"/>
        <v>2</v>
      </c>
      <c r="E41" s="247" t="s">
        <v>75</v>
      </c>
      <c r="F41" s="112" t="b">
        <v>0</v>
      </c>
      <c r="G41" s="113">
        <f t="shared" si="1"/>
        <v>0</v>
      </c>
    </row>
  </sheetData>
  <sheetProtection sheet="1"/>
  <mergeCells count="2">
    <mergeCell ref="B3:C3"/>
    <mergeCell ref="B4:C4"/>
  </mergeCells>
  <conditionalFormatting sqref="D3:D4 E3">
    <cfRule type="cellIs" priority="1" dxfId="0" operator="lessThan" stopIfTrue="1">
      <formula>0</formula>
    </cfRule>
    <cfRule type="cellIs" priority="2" dxfId="3" operator="greaterThan" stopIfTrue="1">
      <formula>0</formula>
    </cfRule>
  </conditionalFormatting>
  <conditionalFormatting sqref="B7:B41">
    <cfRule type="cellIs" priority="3" dxfId="5" operator="equal" stopIfTrue="1">
      <formula>RASSE</formula>
    </cfRule>
  </conditionalFormatting>
  <dataValidations count="1">
    <dataValidation type="list" allowBlank="1" showInputMessage="1" sqref="B7:B41">
      <formula1>RASSE</formula1>
    </dataValidation>
  </dataValidations>
  <printOptions/>
  <pageMargins left="0.3937007874015748" right="0.3937007874015748" top="0.5905511811023623" bottom="0.5905511811023623" header="0.3937007874015748" footer="0.3937007874015748"/>
  <pageSetup fitToHeight="1" fitToWidth="1" horizontalDpi="300" verticalDpi="300" orientation="portrait" paperSize="9" scale="60" r:id="rId2"/>
  <headerFooter alignWithMargins="0">
    <oddHeader>&amp;R&amp;"Verdana,Standard"&amp;8Splittermond - Charakter-Generator (Beta) - v.1.1</oddHeader>
    <oddFooter>&amp;L&amp;"Verdana,Standard"&amp;8Marcus Renner - 18.06.2013</oddFooter>
  </headerFooter>
  <legacyDrawing r:id="rId1"/>
</worksheet>
</file>

<file path=xl/worksheets/sheet5.xml><?xml version="1.0" encoding="utf-8"?>
<worksheet xmlns="http://schemas.openxmlformats.org/spreadsheetml/2006/main" xmlns:r="http://schemas.openxmlformats.org/officeDocument/2006/relationships">
  <sheetPr>
    <tabColor indexed="43"/>
    <pageSetUpPr fitToPage="1"/>
  </sheetPr>
  <dimension ref="A1:Q43"/>
  <sheetViews>
    <sheetView showGridLines="0" zoomScalePageLayoutView="0" workbookViewId="0" topLeftCell="A1">
      <pane xSplit="4" ySplit="6" topLeftCell="E7" activePane="bottomRight" state="frozen"/>
      <selection pane="topLeft" activeCell="A4" sqref="A4"/>
      <selection pane="topRight" activeCell="A4" sqref="A4"/>
      <selection pane="bottomLeft" activeCell="A4" sqref="A4"/>
      <selection pane="bottomRight" activeCell="E7" sqref="E7"/>
    </sheetView>
  </sheetViews>
  <sheetFormatPr defaultColWidth="11.421875" defaultRowHeight="12.75"/>
  <cols>
    <col min="1" max="1" width="6.421875" style="88" bestFit="1" customWidth="1"/>
    <col min="2" max="2" width="23.57421875" style="88" bestFit="1" customWidth="1"/>
    <col min="3" max="3" width="28.140625" style="88" bestFit="1" customWidth="1"/>
    <col min="4" max="4" width="8.421875" style="88" bestFit="1" customWidth="1"/>
    <col min="5" max="5" width="85.7109375" style="88" customWidth="1"/>
    <col min="6" max="6" width="8.421875" style="88" bestFit="1" customWidth="1"/>
    <col min="7" max="7" width="14.140625" style="88" bestFit="1" customWidth="1"/>
    <col min="8" max="8" width="4.421875" style="88" customWidth="1"/>
    <col min="9" max="16384" width="11.421875" style="88" customWidth="1"/>
  </cols>
  <sheetData>
    <row r="1" spans="1:10" s="226" customFormat="1" ht="19.5">
      <c r="A1" s="225" t="s">
        <v>499</v>
      </c>
      <c r="B1" s="225"/>
      <c r="C1" s="225"/>
      <c r="D1" s="225"/>
      <c r="E1" s="225"/>
      <c r="F1" s="225"/>
      <c r="G1" s="225"/>
      <c r="H1" s="225"/>
      <c r="I1" s="225"/>
      <c r="J1" s="88"/>
    </row>
    <row r="2" s="89" customFormat="1" ht="13.5" thickBot="1"/>
    <row r="3" spans="2:5" s="89" customFormat="1" ht="14.25" thickBot="1" thickTop="1">
      <c r="B3" s="319" t="str">
        <f>'GENERIERUNG WERTE'!B3</f>
        <v>Attribut-Punkte</v>
      </c>
      <c r="C3" s="319"/>
      <c r="D3" s="242">
        <f>'GENERIERUNG WERTE'!F3</f>
        <v>11</v>
      </c>
      <c r="E3" s="251">
        <f>COUNTIF(G7:G43,"&gt;0")</f>
        <v>0</v>
      </c>
    </row>
    <row r="4" spans="2:4" s="89" customFormat="1" ht="14.25" thickBot="1" thickTop="1">
      <c r="B4" s="319" t="str">
        <f>'GENERIERUNG WERTE'!B4</f>
        <v>Erfahrungs-Punkte</v>
      </c>
      <c r="C4" s="319"/>
      <c r="D4" s="242">
        <f>'GENERIERUNG WERTE'!F4</f>
        <v>60</v>
      </c>
    </row>
    <row r="5" s="89" customFormat="1" ht="13.5" thickTop="1"/>
    <row r="6" spans="1:7" ht="12.75">
      <c r="A6" s="252" t="s">
        <v>356</v>
      </c>
      <c r="B6" s="244" t="s">
        <v>142</v>
      </c>
      <c r="C6" s="244" t="s">
        <v>254</v>
      </c>
      <c r="D6" s="244" t="s">
        <v>337</v>
      </c>
      <c r="E6" s="244" t="s">
        <v>238</v>
      </c>
      <c r="F6" s="245" t="s">
        <v>336</v>
      </c>
      <c r="G6" s="245" t="s">
        <v>339</v>
      </c>
    </row>
    <row r="7" spans="1:8" ht="29.25">
      <c r="A7" s="253"/>
      <c r="B7" s="247" t="s">
        <v>96</v>
      </c>
      <c r="C7" s="247" t="s">
        <v>294</v>
      </c>
      <c r="D7" s="248">
        <f aca="true" t="shared" si="0" ref="D7:D43">MEISTERSCHAFTPAUSCHALKOSTEN</f>
        <v>2</v>
      </c>
      <c r="E7" s="247" t="s">
        <v>4</v>
      </c>
      <c r="F7" s="112" t="b">
        <v>0</v>
      </c>
      <c r="G7" s="113">
        <f>IF(F7=TRUE,D7,0)</f>
        <v>0</v>
      </c>
      <c r="H7" s="254"/>
    </row>
    <row r="8" spans="1:8" ht="29.25">
      <c r="A8" s="253"/>
      <c r="B8" s="247" t="s">
        <v>96</v>
      </c>
      <c r="C8" s="247" t="s">
        <v>85</v>
      </c>
      <c r="D8" s="248">
        <f t="shared" si="0"/>
        <v>2</v>
      </c>
      <c r="E8" s="247" t="s">
        <v>5</v>
      </c>
      <c r="F8" s="112" t="b">
        <v>0</v>
      </c>
      <c r="G8" s="113">
        <f aca="true" t="shared" si="1" ref="G8:G43">IF(F8=TRUE,D8,0)</f>
        <v>0</v>
      </c>
      <c r="H8" s="254"/>
    </row>
    <row r="9" spans="1:8" ht="29.25">
      <c r="A9" s="253"/>
      <c r="B9" s="249" t="s">
        <v>109</v>
      </c>
      <c r="C9" s="249" t="s">
        <v>86</v>
      </c>
      <c r="D9" s="250">
        <f t="shared" si="0"/>
        <v>2</v>
      </c>
      <c r="E9" s="249" t="s">
        <v>6</v>
      </c>
      <c r="F9" s="112" t="b">
        <v>0</v>
      </c>
      <c r="G9" s="113">
        <f t="shared" si="1"/>
        <v>0</v>
      </c>
      <c r="H9" s="254"/>
    </row>
    <row r="10" spans="1:8" ht="29.25">
      <c r="A10" s="253"/>
      <c r="B10" s="249" t="s">
        <v>109</v>
      </c>
      <c r="C10" s="249" t="s">
        <v>295</v>
      </c>
      <c r="D10" s="250">
        <f t="shared" si="0"/>
        <v>2</v>
      </c>
      <c r="E10" s="249" t="s">
        <v>7</v>
      </c>
      <c r="F10" s="112" t="b">
        <v>0</v>
      </c>
      <c r="G10" s="113">
        <f t="shared" si="1"/>
        <v>0</v>
      </c>
      <c r="H10" s="254"/>
    </row>
    <row r="11" spans="1:17" ht="51">
      <c r="A11" s="253"/>
      <c r="B11" s="247" t="s">
        <v>115</v>
      </c>
      <c r="C11" s="247" t="s">
        <v>296</v>
      </c>
      <c r="D11" s="248">
        <f t="shared" si="0"/>
        <v>2</v>
      </c>
      <c r="E11" s="247" t="s">
        <v>357</v>
      </c>
      <c r="F11" s="112" t="b">
        <v>0</v>
      </c>
      <c r="G11" s="113">
        <f t="shared" si="1"/>
        <v>0</v>
      </c>
      <c r="H11" s="254"/>
      <c r="I11" s="226"/>
      <c r="K11" s="226"/>
      <c r="L11" s="226"/>
      <c r="M11" s="226"/>
      <c r="N11" s="226"/>
      <c r="O11" s="226"/>
      <c r="P11" s="226"/>
      <c r="Q11" s="226"/>
    </row>
    <row r="12" spans="1:17" ht="38.25">
      <c r="A12" s="253"/>
      <c r="B12" s="249" t="s">
        <v>100</v>
      </c>
      <c r="C12" s="249" t="s">
        <v>297</v>
      </c>
      <c r="D12" s="250">
        <f t="shared" si="0"/>
        <v>2</v>
      </c>
      <c r="E12" s="249" t="s">
        <v>358</v>
      </c>
      <c r="F12" s="112" t="b">
        <v>0</v>
      </c>
      <c r="G12" s="113">
        <f t="shared" si="1"/>
        <v>0</v>
      </c>
      <c r="H12" s="254"/>
      <c r="I12" s="226"/>
      <c r="J12" s="226"/>
      <c r="K12" s="226"/>
      <c r="L12" s="226"/>
      <c r="M12" s="226"/>
      <c r="N12" s="226"/>
      <c r="O12" s="226"/>
      <c r="P12" s="226"/>
      <c r="Q12" s="226"/>
    </row>
    <row r="13" spans="1:17" ht="29.25">
      <c r="A13" s="253"/>
      <c r="B13" s="249" t="s">
        <v>100</v>
      </c>
      <c r="C13" s="249" t="s">
        <v>298</v>
      </c>
      <c r="D13" s="250">
        <f t="shared" si="0"/>
        <v>2</v>
      </c>
      <c r="E13" s="249" t="s">
        <v>359</v>
      </c>
      <c r="F13" s="112" t="b">
        <v>0</v>
      </c>
      <c r="G13" s="113">
        <f t="shared" si="1"/>
        <v>0</v>
      </c>
      <c r="H13" s="254"/>
      <c r="I13" s="226"/>
      <c r="J13" s="226"/>
      <c r="K13" s="226"/>
      <c r="L13" s="226"/>
      <c r="M13" s="226"/>
      <c r="N13" s="226"/>
      <c r="O13" s="226"/>
      <c r="P13" s="226"/>
      <c r="Q13" s="226"/>
    </row>
    <row r="14" spans="1:17" ht="38.25">
      <c r="A14" s="253"/>
      <c r="B14" s="247" t="s">
        <v>117</v>
      </c>
      <c r="C14" s="247" t="s">
        <v>299</v>
      </c>
      <c r="D14" s="248">
        <f t="shared" si="0"/>
        <v>2</v>
      </c>
      <c r="E14" s="247" t="s">
        <v>8</v>
      </c>
      <c r="F14" s="112" t="b">
        <v>0</v>
      </c>
      <c r="G14" s="113">
        <f t="shared" si="1"/>
        <v>0</v>
      </c>
      <c r="H14" s="254"/>
      <c r="I14" s="226"/>
      <c r="J14" s="226"/>
      <c r="K14" s="226"/>
      <c r="L14" s="226"/>
      <c r="M14" s="226"/>
      <c r="N14" s="226"/>
      <c r="O14" s="226"/>
      <c r="P14" s="226"/>
      <c r="Q14" s="226"/>
    </row>
    <row r="15" spans="1:17" ht="38.25">
      <c r="A15" s="253"/>
      <c r="B15" s="249" t="s">
        <v>118</v>
      </c>
      <c r="C15" s="249" t="s">
        <v>300</v>
      </c>
      <c r="D15" s="250">
        <f t="shared" si="0"/>
        <v>2</v>
      </c>
      <c r="E15" s="249" t="s">
        <v>9</v>
      </c>
      <c r="F15" s="112" t="b">
        <v>0</v>
      </c>
      <c r="G15" s="113">
        <f t="shared" si="1"/>
        <v>0</v>
      </c>
      <c r="H15" s="254"/>
      <c r="I15" s="226"/>
      <c r="J15" s="226"/>
      <c r="K15" s="226"/>
      <c r="L15" s="226"/>
      <c r="M15" s="226"/>
      <c r="N15" s="226"/>
      <c r="O15" s="226"/>
      <c r="P15" s="226"/>
      <c r="Q15" s="226"/>
    </row>
    <row r="16" spans="1:8" ht="38.25">
      <c r="A16" s="253"/>
      <c r="B16" s="247" t="s">
        <v>111</v>
      </c>
      <c r="C16" s="247" t="s">
        <v>301</v>
      </c>
      <c r="D16" s="248">
        <f t="shared" si="0"/>
        <v>2</v>
      </c>
      <c r="E16" s="247" t="s">
        <v>10</v>
      </c>
      <c r="F16" s="112" t="b">
        <v>0</v>
      </c>
      <c r="G16" s="113">
        <f t="shared" si="1"/>
        <v>0</v>
      </c>
      <c r="H16" s="254"/>
    </row>
    <row r="17" spans="1:8" ht="29.25">
      <c r="A17" s="253"/>
      <c r="B17" s="247" t="s">
        <v>111</v>
      </c>
      <c r="C17" s="247" t="s">
        <v>302</v>
      </c>
      <c r="D17" s="248">
        <f t="shared" si="0"/>
        <v>2</v>
      </c>
      <c r="E17" s="247" t="s">
        <v>11</v>
      </c>
      <c r="F17" s="112" t="b">
        <v>0</v>
      </c>
      <c r="G17" s="113">
        <f t="shared" si="1"/>
        <v>0</v>
      </c>
      <c r="H17" s="254"/>
    </row>
    <row r="18" spans="1:8" ht="51">
      <c r="A18" s="253"/>
      <c r="B18" s="247" t="s">
        <v>111</v>
      </c>
      <c r="C18" s="247" t="s">
        <v>303</v>
      </c>
      <c r="D18" s="248">
        <f t="shared" si="0"/>
        <v>2</v>
      </c>
      <c r="E18" s="247" t="s">
        <v>12</v>
      </c>
      <c r="F18" s="112" t="b">
        <v>0</v>
      </c>
      <c r="G18" s="113">
        <f t="shared" si="1"/>
        <v>0</v>
      </c>
      <c r="H18" s="254"/>
    </row>
    <row r="19" spans="1:8" ht="29.25">
      <c r="A19" s="253"/>
      <c r="B19" s="249" t="s">
        <v>106</v>
      </c>
      <c r="C19" s="249" t="s">
        <v>304</v>
      </c>
      <c r="D19" s="250">
        <f t="shared" si="0"/>
        <v>2</v>
      </c>
      <c r="E19" s="249" t="s">
        <v>360</v>
      </c>
      <c r="F19" s="112" t="b">
        <v>0</v>
      </c>
      <c r="G19" s="113">
        <f t="shared" si="1"/>
        <v>0</v>
      </c>
      <c r="H19" s="254"/>
    </row>
    <row r="20" spans="1:8" ht="29.25">
      <c r="A20" s="253"/>
      <c r="B20" s="249" t="s">
        <v>106</v>
      </c>
      <c r="C20" s="249" t="s">
        <v>305</v>
      </c>
      <c r="D20" s="250">
        <f t="shared" si="0"/>
        <v>2</v>
      </c>
      <c r="E20" s="249" t="s">
        <v>361</v>
      </c>
      <c r="F20" s="112" t="b">
        <v>0</v>
      </c>
      <c r="G20" s="113">
        <f t="shared" si="1"/>
        <v>0</v>
      </c>
      <c r="H20" s="254"/>
    </row>
    <row r="21" spans="1:17" ht="38.25">
      <c r="A21" s="253"/>
      <c r="B21" s="247" t="s">
        <v>88</v>
      </c>
      <c r="C21" s="247" t="s">
        <v>290</v>
      </c>
      <c r="D21" s="248">
        <f t="shared" si="0"/>
        <v>2</v>
      </c>
      <c r="E21" s="247" t="s">
        <v>362</v>
      </c>
      <c r="F21" s="112" t="b">
        <v>0</v>
      </c>
      <c r="G21" s="113">
        <f t="shared" si="1"/>
        <v>0</v>
      </c>
      <c r="H21" s="254"/>
      <c r="I21" s="226"/>
      <c r="J21" s="226"/>
      <c r="K21" s="226"/>
      <c r="L21" s="226"/>
      <c r="M21" s="226"/>
      <c r="N21" s="226"/>
      <c r="O21" s="226"/>
      <c r="P21" s="226"/>
      <c r="Q21" s="226"/>
    </row>
    <row r="22" spans="1:17" ht="29.25">
      <c r="A22" s="253"/>
      <c r="B22" s="247" t="s">
        <v>88</v>
      </c>
      <c r="C22" s="247" t="s">
        <v>291</v>
      </c>
      <c r="D22" s="248">
        <f t="shared" si="0"/>
        <v>2</v>
      </c>
      <c r="E22" s="247" t="s">
        <v>0</v>
      </c>
      <c r="F22" s="112" t="b">
        <v>0</v>
      </c>
      <c r="G22" s="113">
        <f t="shared" si="1"/>
        <v>0</v>
      </c>
      <c r="H22" s="254"/>
      <c r="I22" s="226"/>
      <c r="J22" s="226"/>
      <c r="K22" s="226"/>
      <c r="L22" s="226"/>
      <c r="M22" s="226"/>
      <c r="N22" s="226"/>
      <c r="O22" s="226"/>
      <c r="P22" s="226"/>
      <c r="Q22" s="226"/>
    </row>
    <row r="23" spans="1:17" ht="29.25">
      <c r="A23" s="253"/>
      <c r="B23" s="249" t="s">
        <v>287</v>
      </c>
      <c r="C23" s="249" t="s">
        <v>286</v>
      </c>
      <c r="D23" s="250">
        <f t="shared" si="0"/>
        <v>2</v>
      </c>
      <c r="E23" s="249" t="s">
        <v>472</v>
      </c>
      <c r="F23" s="112" t="b">
        <v>0</v>
      </c>
      <c r="G23" s="113">
        <f t="shared" si="1"/>
        <v>0</v>
      </c>
      <c r="H23" s="254"/>
      <c r="I23" s="226"/>
      <c r="J23" s="226"/>
      <c r="K23" s="226"/>
      <c r="L23" s="226"/>
      <c r="M23" s="226"/>
      <c r="N23" s="226"/>
      <c r="O23" s="226"/>
      <c r="P23" s="226"/>
      <c r="Q23" s="226"/>
    </row>
    <row r="24" spans="1:17" ht="29.25">
      <c r="A24" s="253"/>
      <c r="B24" s="249" t="s">
        <v>287</v>
      </c>
      <c r="C24" s="249" t="s">
        <v>288</v>
      </c>
      <c r="D24" s="250">
        <f t="shared" si="0"/>
        <v>2</v>
      </c>
      <c r="E24" s="249" t="s">
        <v>471</v>
      </c>
      <c r="F24" s="112" t="b">
        <v>0</v>
      </c>
      <c r="G24" s="113">
        <f t="shared" si="1"/>
        <v>0</v>
      </c>
      <c r="H24" s="254"/>
      <c r="I24" s="226"/>
      <c r="J24" s="226"/>
      <c r="K24" s="226"/>
      <c r="L24" s="226"/>
      <c r="M24" s="226"/>
      <c r="N24" s="226"/>
      <c r="O24" s="226"/>
      <c r="P24" s="226"/>
      <c r="Q24" s="226"/>
    </row>
    <row r="25" spans="1:17" ht="38.25">
      <c r="A25" s="253"/>
      <c r="B25" s="249" t="s">
        <v>287</v>
      </c>
      <c r="C25" s="249" t="s">
        <v>289</v>
      </c>
      <c r="D25" s="250">
        <f t="shared" si="0"/>
        <v>2</v>
      </c>
      <c r="E25" s="249" t="s">
        <v>363</v>
      </c>
      <c r="F25" s="112" t="b">
        <v>0</v>
      </c>
      <c r="G25" s="113">
        <f t="shared" si="1"/>
        <v>0</v>
      </c>
      <c r="H25" s="254"/>
      <c r="I25" s="226"/>
      <c r="J25" s="226"/>
      <c r="K25" s="226"/>
      <c r="L25" s="226"/>
      <c r="M25" s="226"/>
      <c r="N25" s="226"/>
      <c r="O25" s="226"/>
      <c r="P25" s="226"/>
      <c r="Q25" s="226"/>
    </row>
    <row r="26" spans="1:17" ht="29.25">
      <c r="A26" s="253"/>
      <c r="B26" s="247" t="s">
        <v>89</v>
      </c>
      <c r="C26" s="247" t="s">
        <v>292</v>
      </c>
      <c r="D26" s="248">
        <f t="shared" si="0"/>
        <v>2</v>
      </c>
      <c r="E26" s="247" t="s">
        <v>1</v>
      </c>
      <c r="F26" s="112" t="b">
        <v>0</v>
      </c>
      <c r="G26" s="113">
        <f t="shared" si="1"/>
        <v>0</v>
      </c>
      <c r="H26" s="254"/>
      <c r="I26" s="226"/>
      <c r="J26" s="226"/>
      <c r="K26" s="226"/>
      <c r="L26" s="226"/>
      <c r="M26" s="226"/>
      <c r="N26" s="226"/>
      <c r="O26" s="226"/>
      <c r="P26" s="226"/>
      <c r="Q26" s="226"/>
    </row>
    <row r="27" spans="1:17" ht="29.25">
      <c r="A27" s="253"/>
      <c r="B27" s="247" t="s">
        <v>89</v>
      </c>
      <c r="C27" s="247" t="s">
        <v>291</v>
      </c>
      <c r="D27" s="248">
        <f t="shared" si="0"/>
        <v>2</v>
      </c>
      <c r="E27" s="247" t="s">
        <v>2</v>
      </c>
      <c r="F27" s="112" t="b">
        <v>0</v>
      </c>
      <c r="G27" s="113">
        <f t="shared" si="1"/>
        <v>0</v>
      </c>
      <c r="H27" s="254"/>
      <c r="I27" s="226"/>
      <c r="J27" s="226"/>
      <c r="K27" s="226"/>
      <c r="L27" s="226"/>
      <c r="M27" s="226"/>
      <c r="N27" s="226"/>
      <c r="O27" s="226"/>
      <c r="P27" s="226"/>
      <c r="Q27" s="226"/>
    </row>
    <row r="28" spans="1:17" ht="51">
      <c r="A28" s="253"/>
      <c r="B28" s="249" t="s">
        <v>90</v>
      </c>
      <c r="C28" s="249" t="s">
        <v>293</v>
      </c>
      <c r="D28" s="250">
        <f t="shared" si="0"/>
        <v>2</v>
      </c>
      <c r="E28" s="249" t="s">
        <v>3</v>
      </c>
      <c r="F28" s="112" t="b">
        <v>0</v>
      </c>
      <c r="G28" s="113">
        <f t="shared" si="1"/>
        <v>0</v>
      </c>
      <c r="H28" s="254"/>
      <c r="I28" s="226"/>
      <c r="J28" s="226"/>
      <c r="K28" s="226"/>
      <c r="L28" s="226"/>
      <c r="M28" s="226"/>
      <c r="N28" s="226"/>
      <c r="O28" s="226"/>
      <c r="P28" s="226"/>
      <c r="Q28" s="226"/>
    </row>
    <row r="29" spans="1:17" ht="29.25">
      <c r="A29" s="253"/>
      <c r="B29" s="247" t="s">
        <v>201</v>
      </c>
      <c r="C29" s="247" t="s">
        <v>318</v>
      </c>
      <c r="D29" s="248">
        <f t="shared" si="0"/>
        <v>2</v>
      </c>
      <c r="E29" s="247" t="s">
        <v>24</v>
      </c>
      <c r="F29" s="112" t="b">
        <v>0</v>
      </c>
      <c r="G29" s="113">
        <f t="shared" si="1"/>
        <v>0</v>
      </c>
      <c r="H29" s="254"/>
      <c r="I29" s="226"/>
      <c r="J29" s="226"/>
      <c r="K29" s="226"/>
      <c r="L29" s="226"/>
      <c r="M29" s="226"/>
      <c r="N29" s="226"/>
      <c r="O29" s="226"/>
      <c r="P29" s="226"/>
      <c r="Q29" s="226"/>
    </row>
    <row r="30" spans="1:17" ht="29.25">
      <c r="A30" s="253"/>
      <c r="B30" s="247" t="s">
        <v>201</v>
      </c>
      <c r="C30" s="247" t="s">
        <v>319</v>
      </c>
      <c r="D30" s="248">
        <f t="shared" si="0"/>
        <v>2</v>
      </c>
      <c r="E30" s="247" t="s">
        <v>25</v>
      </c>
      <c r="F30" s="112" t="b">
        <v>0</v>
      </c>
      <c r="G30" s="113">
        <f t="shared" si="1"/>
        <v>0</v>
      </c>
      <c r="H30" s="254"/>
      <c r="I30" s="226"/>
      <c r="J30" s="226"/>
      <c r="K30" s="226"/>
      <c r="L30" s="226"/>
      <c r="M30" s="226"/>
      <c r="N30" s="226"/>
      <c r="O30" s="226"/>
      <c r="P30" s="226"/>
      <c r="Q30" s="226"/>
    </row>
    <row r="31" spans="1:17" ht="29.25">
      <c r="A31" s="253"/>
      <c r="B31" s="249" t="s">
        <v>203</v>
      </c>
      <c r="C31" s="249" t="s">
        <v>320</v>
      </c>
      <c r="D31" s="250">
        <f t="shared" si="0"/>
        <v>2</v>
      </c>
      <c r="E31" s="249" t="s">
        <v>26</v>
      </c>
      <c r="F31" s="112" t="b">
        <v>0</v>
      </c>
      <c r="G31" s="113">
        <f t="shared" si="1"/>
        <v>0</v>
      </c>
      <c r="H31" s="254"/>
      <c r="I31" s="226"/>
      <c r="J31" s="226"/>
      <c r="K31" s="226"/>
      <c r="L31" s="226"/>
      <c r="M31" s="226"/>
      <c r="N31" s="226"/>
      <c r="O31" s="226"/>
      <c r="P31" s="226"/>
      <c r="Q31" s="226"/>
    </row>
    <row r="32" spans="1:17" ht="29.25">
      <c r="A32" s="253"/>
      <c r="B32" s="247" t="s">
        <v>103</v>
      </c>
      <c r="C32" s="247" t="s">
        <v>306</v>
      </c>
      <c r="D32" s="248">
        <f t="shared" si="0"/>
        <v>2</v>
      </c>
      <c r="E32" s="247" t="s">
        <v>470</v>
      </c>
      <c r="F32" s="112" t="b">
        <v>0</v>
      </c>
      <c r="G32" s="113">
        <f t="shared" si="1"/>
        <v>0</v>
      </c>
      <c r="H32" s="254"/>
      <c r="I32" s="226"/>
      <c r="J32" s="226"/>
      <c r="K32" s="226"/>
      <c r="L32" s="226"/>
      <c r="M32" s="226"/>
      <c r="N32" s="226"/>
      <c r="O32" s="226"/>
      <c r="P32" s="226"/>
      <c r="Q32" s="226"/>
    </row>
    <row r="33" spans="1:17" ht="29.25">
      <c r="A33" s="253"/>
      <c r="B33" s="249" t="s">
        <v>119</v>
      </c>
      <c r="C33" s="249" t="s">
        <v>307</v>
      </c>
      <c r="D33" s="250">
        <f t="shared" si="0"/>
        <v>2</v>
      </c>
      <c r="E33" s="249" t="s">
        <v>13</v>
      </c>
      <c r="F33" s="112" t="b">
        <v>0</v>
      </c>
      <c r="G33" s="113">
        <f t="shared" si="1"/>
        <v>0</v>
      </c>
      <c r="H33" s="254"/>
      <c r="I33" s="226"/>
      <c r="J33" s="226"/>
      <c r="K33" s="226"/>
      <c r="L33" s="226"/>
      <c r="M33" s="226"/>
      <c r="N33" s="226"/>
      <c r="O33" s="226"/>
      <c r="P33" s="226"/>
      <c r="Q33" s="226"/>
    </row>
    <row r="34" spans="1:17" ht="29.25">
      <c r="A34" s="253"/>
      <c r="B34" s="247" t="s">
        <v>108</v>
      </c>
      <c r="C34" s="247" t="s">
        <v>308</v>
      </c>
      <c r="D34" s="248">
        <f t="shared" si="0"/>
        <v>2</v>
      </c>
      <c r="E34" s="247" t="s">
        <v>14</v>
      </c>
      <c r="F34" s="112" t="b">
        <v>0</v>
      </c>
      <c r="G34" s="113">
        <f t="shared" si="1"/>
        <v>0</v>
      </c>
      <c r="H34" s="254"/>
      <c r="I34" s="226"/>
      <c r="J34" s="226"/>
      <c r="K34" s="226"/>
      <c r="L34" s="226"/>
      <c r="M34" s="226"/>
      <c r="N34" s="226"/>
      <c r="O34" s="226"/>
      <c r="P34" s="226"/>
      <c r="Q34" s="226"/>
    </row>
    <row r="35" spans="1:17" ht="29.25">
      <c r="A35" s="253"/>
      <c r="B35" s="247" t="s">
        <v>108</v>
      </c>
      <c r="C35" s="247" t="s">
        <v>309</v>
      </c>
      <c r="D35" s="248">
        <f t="shared" si="0"/>
        <v>2</v>
      </c>
      <c r="E35" s="247" t="s">
        <v>15</v>
      </c>
      <c r="F35" s="112" t="b">
        <v>0</v>
      </c>
      <c r="G35" s="113">
        <f t="shared" si="1"/>
        <v>0</v>
      </c>
      <c r="H35" s="254"/>
      <c r="I35" s="226"/>
      <c r="J35" s="226"/>
      <c r="K35" s="226"/>
      <c r="L35" s="226"/>
      <c r="M35" s="226"/>
      <c r="N35" s="226"/>
      <c r="O35" s="226"/>
      <c r="P35" s="226"/>
      <c r="Q35" s="226"/>
    </row>
    <row r="36" spans="1:17" ht="51">
      <c r="A36" s="253"/>
      <c r="B36" s="249" t="s">
        <v>123</v>
      </c>
      <c r="C36" s="249" t="s">
        <v>310</v>
      </c>
      <c r="D36" s="250">
        <f t="shared" si="0"/>
        <v>2</v>
      </c>
      <c r="E36" s="249" t="s">
        <v>16</v>
      </c>
      <c r="F36" s="112" t="b">
        <v>0</v>
      </c>
      <c r="G36" s="113">
        <f t="shared" si="1"/>
        <v>0</v>
      </c>
      <c r="H36" s="254"/>
      <c r="I36" s="226"/>
      <c r="J36" s="226"/>
      <c r="K36" s="226"/>
      <c r="L36" s="226"/>
      <c r="M36" s="226"/>
      <c r="N36" s="226"/>
      <c r="O36" s="226"/>
      <c r="P36" s="226"/>
      <c r="Q36" s="226"/>
    </row>
    <row r="37" spans="1:17" ht="51">
      <c r="A37" s="253"/>
      <c r="B37" s="247" t="s">
        <v>124</v>
      </c>
      <c r="C37" s="247" t="s">
        <v>311</v>
      </c>
      <c r="D37" s="248">
        <f t="shared" si="0"/>
        <v>2</v>
      </c>
      <c r="E37" s="247" t="s">
        <v>17</v>
      </c>
      <c r="F37" s="112" t="b">
        <v>0</v>
      </c>
      <c r="G37" s="113">
        <f t="shared" si="1"/>
        <v>0</v>
      </c>
      <c r="H37" s="254"/>
      <c r="I37" s="226"/>
      <c r="J37" s="226"/>
      <c r="K37" s="226"/>
      <c r="L37" s="226"/>
      <c r="M37" s="226"/>
      <c r="N37" s="226"/>
      <c r="O37" s="226"/>
      <c r="P37" s="226"/>
      <c r="Q37" s="226"/>
    </row>
    <row r="38" spans="1:8" ht="29.25">
      <c r="A38" s="253"/>
      <c r="B38" s="247" t="s">
        <v>124</v>
      </c>
      <c r="C38" s="247" t="s">
        <v>312</v>
      </c>
      <c r="D38" s="248">
        <f t="shared" si="0"/>
        <v>2</v>
      </c>
      <c r="E38" s="247" t="s">
        <v>18</v>
      </c>
      <c r="F38" s="112" t="b">
        <v>0</v>
      </c>
      <c r="G38" s="113">
        <f t="shared" si="1"/>
        <v>0</v>
      </c>
      <c r="H38" s="254"/>
    </row>
    <row r="39" spans="1:8" ht="38.25">
      <c r="A39" s="253"/>
      <c r="B39" s="249" t="s">
        <v>125</v>
      </c>
      <c r="C39" s="249" t="s">
        <v>313</v>
      </c>
      <c r="D39" s="250">
        <f t="shared" si="0"/>
        <v>2</v>
      </c>
      <c r="E39" s="249" t="s">
        <v>19</v>
      </c>
      <c r="F39" s="112" t="b">
        <v>0</v>
      </c>
      <c r="G39" s="113">
        <f t="shared" si="1"/>
        <v>0</v>
      </c>
      <c r="H39" s="254"/>
    </row>
    <row r="40" spans="1:8" ht="29.25">
      <c r="A40" s="253"/>
      <c r="B40" s="249" t="s">
        <v>125</v>
      </c>
      <c r="C40" s="249" t="s">
        <v>314</v>
      </c>
      <c r="D40" s="250">
        <f t="shared" si="0"/>
        <v>2</v>
      </c>
      <c r="E40" s="249" t="s">
        <v>20</v>
      </c>
      <c r="F40" s="112" t="b">
        <v>0</v>
      </c>
      <c r="G40" s="113">
        <f t="shared" si="1"/>
        <v>0</v>
      </c>
      <c r="H40" s="254"/>
    </row>
    <row r="41" spans="1:8" ht="38.25">
      <c r="A41" s="253"/>
      <c r="B41" s="247" t="s">
        <v>99</v>
      </c>
      <c r="C41" s="247" t="s">
        <v>315</v>
      </c>
      <c r="D41" s="248">
        <f t="shared" si="0"/>
        <v>2</v>
      </c>
      <c r="E41" s="247" t="s">
        <v>21</v>
      </c>
      <c r="F41" s="112" t="b">
        <v>0</v>
      </c>
      <c r="G41" s="113">
        <f t="shared" si="1"/>
        <v>0</v>
      </c>
      <c r="H41" s="254"/>
    </row>
    <row r="42" spans="1:7" ht="25.5">
      <c r="A42" s="253"/>
      <c r="B42" s="247" t="s">
        <v>99</v>
      </c>
      <c r="C42" s="247" t="s">
        <v>316</v>
      </c>
      <c r="D42" s="248">
        <f t="shared" si="0"/>
        <v>2</v>
      </c>
      <c r="E42" s="247" t="s">
        <v>22</v>
      </c>
      <c r="F42" s="112" t="b">
        <v>0</v>
      </c>
      <c r="G42" s="113">
        <f t="shared" si="1"/>
        <v>0</v>
      </c>
    </row>
    <row r="43" spans="1:7" ht="38.25">
      <c r="A43" s="253"/>
      <c r="B43" s="247" t="s">
        <v>99</v>
      </c>
      <c r="C43" s="247" t="s">
        <v>317</v>
      </c>
      <c r="D43" s="248">
        <f t="shared" si="0"/>
        <v>2</v>
      </c>
      <c r="E43" s="247" t="s">
        <v>23</v>
      </c>
      <c r="F43" s="112" t="b">
        <v>0</v>
      </c>
      <c r="G43" s="113">
        <f t="shared" si="1"/>
        <v>0</v>
      </c>
    </row>
  </sheetData>
  <sheetProtection sheet="1"/>
  <mergeCells count="2">
    <mergeCell ref="B3:C3"/>
    <mergeCell ref="B4:C4"/>
  </mergeCells>
  <conditionalFormatting sqref="D3:D4 E3">
    <cfRule type="cellIs" priority="1" dxfId="0" operator="lessThan" stopIfTrue="1">
      <formula>0</formula>
    </cfRule>
    <cfRule type="cellIs" priority="2" dxfId="3" operator="greaterThan" stopIfTrue="1">
      <formula>0</formula>
    </cfRule>
  </conditionalFormatting>
  <printOptions/>
  <pageMargins left="0.3937007874015748" right="0.3937007874015748" top="0.5905511811023623" bottom="0.5905511811023623" header="0.3937007874015748" footer="0.3937007874015748"/>
  <pageSetup fitToHeight="1" fitToWidth="1" horizontalDpi="300" verticalDpi="300" orientation="portrait" paperSize="9" scale="55" r:id="rId2"/>
  <headerFooter alignWithMargins="0">
    <oddHeader>&amp;R&amp;"Verdana,Standard"&amp;8Splittermond - Charakter-Generator (Beta) - v.1.1</oddHeader>
    <oddFooter>&amp;L&amp;"Verdana,Standard"&amp;8Marcus Renner - 18.06.2013</oddFooter>
  </headerFooter>
  <legacyDrawing r:id="rId1"/>
</worksheet>
</file>

<file path=xl/worksheets/sheet6.xml><?xml version="1.0" encoding="utf-8"?>
<worksheet xmlns="http://schemas.openxmlformats.org/spreadsheetml/2006/main" xmlns:r="http://schemas.openxmlformats.org/officeDocument/2006/relationships">
  <sheetPr>
    <tabColor indexed="63"/>
    <pageSetUpPr fitToPage="1"/>
  </sheetPr>
  <dimension ref="A1:J94"/>
  <sheetViews>
    <sheetView showGridLines="0" zoomScale="115" zoomScaleNormal="115" zoomScalePageLayoutView="0" workbookViewId="0" topLeftCell="A1">
      <pane xSplit="2" ySplit="7" topLeftCell="C8" activePane="bottomRight" state="frozen"/>
      <selection pane="topLeft" activeCell="A4" sqref="A4"/>
      <selection pane="topRight" activeCell="A4" sqref="A4"/>
      <selection pane="bottomLeft" activeCell="A4" sqref="A4"/>
      <selection pane="bottomRight" activeCell="C8" sqref="C8"/>
    </sheetView>
  </sheetViews>
  <sheetFormatPr defaultColWidth="11.421875" defaultRowHeight="12.75"/>
  <cols>
    <col min="1" max="1" width="7.28125" style="3" customWidth="1"/>
    <col min="2" max="2" width="25.28125" style="3" bestFit="1" customWidth="1"/>
    <col min="3" max="9" width="15.28125" style="3" customWidth="1"/>
    <col min="10" max="16384" width="11.421875" style="3" customWidth="1"/>
  </cols>
  <sheetData>
    <row r="1" spans="1:10" ht="19.5">
      <c r="A1" s="320" t="s">
        <v>366</v>
      </c>
      <c r="B1" s="320"/>
      <c r="C1" s="320"/>
      <c r="D1" s="320"/>
      <c r="E1" s="320"/>
      <c r="F1" s="320"/>
      <c r="G1" s="320"/>
      <c r="H1" s="320"/>
      <c r="I1" s="320"/>
      <c r="J1" s="4"/>
    </row>
    <row r="3" spans="1:2" ht="15">
      <c r="A3" s="321" t="s">
        <v>191</v>
      </c>
      <c r="B3" s="321"/>
    </row>
    <row r="4" spans="1:9" ht="12.75">
      <c r="A4" s="7"/>
      <c r="B4" s="26" t="s">
        <v>192</v>
      </c>
      <c r="C4" s="27" t="s">
        <v>216</v>
      </c>
      <c r="D4" s="27" t="s">
        <v>349</v>
      </c>
      <c r="E4" s="27" t="s">
        <v>369</v>
      </c>
      <c r="F4" s="27" t="s">
        <v>370</v>
      </c>
      <c r="G4" s="27" t="s">
        <v>371</v>
      </c>
      <c r="H4" s="27" t="s">
        <v>372</v>
      </c>
      <c r="I4" s="27" t="s">
        <v>373</v>
      </c>
    </row>
    <row r="5" spans="1:9" ht="12.75">
      <c r="A5" s="7"/>
      <c r="B5" s="26" t="s">
        <v>185</v>
      </c>
      <c r="C5" s="27" t="s">
        <v>184</v>
      </c>
      <c r="D5" s="27" t="s">
        <v>180</v>
      </c>
      <c r="E5" s="27" t="s">
        <v>182</v>
      </c>
      <c r="F5" s="27" t="s">
        <v>180</v>
      </c>
      <c r="G5" s="27" t="s">
        <v>180</v>
      </c>
      <c r="H5" s="27" t="s">
        <v>183</v>
      </c>
      <c r="I5" s="27" t="s">
        <v>181</v>
      </c>
    </row>
    <row r="6" spans="1:9" ht="25.5">
      <c r="A6" s="7"/>
      <c r="B6" s="26" t="s">
        <v>193</v>
      </c>
      <c r="C6" s="27" t="s">
        <v>217</v>
      </c>
      <c r="D6" s="27" t="s">
        <v>218</v>
      </c>
      <c r="E6" s="27" t="s">
        <v>219</v>
      </c>
      <c r="F6" s="27" t="s">
        <v>220</v>
      </c>
      <c r="G6" s="27" t="s">
        <v>221</v>
      </c>
      <c r="H6" s="27" t="s">
        <v>222</v>
      </c>
      <c r="I6" s="27" t="s">
        <v>223</v>
      </c>
    </row>
    <row r="7" spans="1:9" ht="25.5">
      <c r="A7" s="7"/>
      <c r="B7" s="26" t="s">
        <v>194</v>
      </c>
      <c r="C7" s="27" t="s">
        <v>224</v>
      </c>
      <c r="D7" s="27" t="s">
        <v>225</v>
      </c>
      <c r="E7" s="27" t="s">
        <v>226</v>
      </c>
      <c r="F7" s="27" t="s">
        <v>227</v>
      </c>
      <c r="G7" s="27" t="s">
        <v>228</v>
      </c>
      <c r="H7" s="27" t="s">
        <v>229</v>
      </c>
      <c r="I7" s="27" t="s">
        <v>230</v>
      </c>
    </row>
    <row r="8" spans="1:9" ht="15">
      <c r="A8" s="78"/>
      <c r="B8" s="78"/>
      <c r="C8" s="28"/>
      <c r="D8" s="28"/>
      <c r="E8" s="28"/>
      <c r="F8" s="28"/>
      <c r="G8" s="28"/>
      <c r="H8" s="28"/>
      <c r="I8" s="28"/>
    </row>
    <row r="9" spans="1:9" ht="15">
      <c r="A9" s="321" t="s">
        <v>139</v>
      </c>
      <c r="B9" s="321"/>
      <c r="C9" s="28"/>
      <c r="D9" s="28"/>
      <c r="E9" s="28"/>
      <c r="F9" s="28"/>
      <c r="G9" s="28"/>
      <c r="H9" s="28"/>
      <c r="I9" s="28"/>
    </row>
    <row r="10" spans="2:9" ht="12.75">
      <c r="B10" s="29" t="s">
        <v>126</v>
      </c>
      <c r="C10" s="30">
        <v>1</v>
      </c>
      <c r="D10" s="30">
        <v>3</v>
      </c>
      <c r="E10" s="30">
        <v>3</v>
      </c>
      <c r="F10" s="30">
        <v>2</v>
      </c>
      <c r="G10" s="30">
        <v>3</v>
      </c>
      <c r="H10" s="30">
        <v>2</v>
      </c>
      <c r="I10" s="30">
        <v>2</v>
      </c>
    </row>
    <row r="11" spans="2:9" ht="12.75">
      <c r="B11" s="31" t="s">
        <v>127</v>
      </c>
      <c r="C11" s="32">
        <v>3</v>
      </c>
      <c r="D11" s="32">
        <v>3</v>
      </c>
      <c r="E11" s="32">
        <v>2</v>
      </c>
      <c r="F11" s="32">
        <v>3</v>
      </c>
      <c r="G11" s="32">
        <v>2</v>
      </c>
      <c r="H11" s="32">
        <v>1</v>
      </c>
      <c r="I11" s="32">
        <v>4</v>
      </c>
    </row>
    <row r="12" spans="2:9" ht="12.75">
      <c r="B12" s="31" t="s">
        <v>128</v>
      </c>
      <c r="C12" s="32">
        <v>2</v>
      </c>
      <c r="D12" s="32">
        <v>1</v>
      </c>
      <c r="E12" s="32">
        <v>3</v>
      </c>
      <c r="F12" s="32">
        <v>1</v>
      </c>
      <c r="G12" s="32">
        <v>2</v>
      </c>
      <c r="H12" s="32">
        <v>1</v>
      </c>
      <c r="I12" s="32">
        <v>3</v>
      </c>
    </row>
    <row r="13" spans="2:9" ht="12.75">
      <c r="B13" s="31" t="s">
        <v>129</v>
      </c>
      <c r="C13" s="32">
        <v>3</v>
      </c>
      <c r="D13" s="32">
        <v>1</v>
      </c>
      <c r="E13" s="32">
        <v>3</v>
      </c>
      <c r="F13" s="32">
        <v>4</v>
      </c>
      <c r="G13" s="32">
        <v>2</v>
      </c>
      <c r="H13" s="32">
        <v>2</v>
      </c>
      <c r="I13" s="32">
        <v>2</v>
      </c>
    </row>
    <row r="14" spans="2:9" ht="12.75">
      <c r="B14" s="31" t="s">
        <v>130</v>
      </c>
      <c r="C14" s="32">
        <v>3</v>
      </c>
      <c r="D14" s="32">
        <v>3</v>
      </c>
      <c r="E14" s="32">
        <v>1</v>
      </c>
      <c r="F14" s="32">
        <v>3</v>
      </c>
      <c r="G14" s="32">
        <v>1</v>
      </c>
      <c r="H14" s="32">
        <v>3</v>
      </c>
      <c r="I14" s="32">
        <v>2</v>
      </c>
    </row>
    <row r="15" spans="2:9" ht="12.75">
      <c r="B15" s="31" t="s">
        <v>131</v>
      </c>
      <c r="C15" s="32">
        <v>1</v>
      </c>
      <c r="D15" s="32">
        <v>1</v>
      </c>
      <c r="E15" s="32">
        <v>1</v>
      </c>
      <c r="F15" s="32">
        <v>1</v>
      </c>
      <c r="G15" s="32">
        <v>3</v>
      </c>
      <c r="H15" s="32">
        <v>3</v>
      </c>
      <c r="I15" s="32">
        <v>3</v>
      </c>
    </row>
    <row r="16" spans="2:9" ht="12.75">
      <c r="B16" s="31" t="s">
        <v>190</v>
      </c>
      <c r="C16" s="32">
        <v>3</v>
      </c>
      <c r="D16" s="32">
        <v>3</v>
      </c>
      <c r="E16" s="32">
        <v>1</v>
      </c>
      <c r="F16" s="32">
        <v>2</v>
      </c>
      <c r="G16" s="32">
        <v>1</v>
      </c>
      <c r="H16" s="32">
        <v>3</v>
      </c>
      <c r="I16" s="32">
        <v>1</v>
      </c>
    </row>
    <row r="17" spans="2:9" ht="12.75">
      <c r="B17" s="31" t="s">
        <v>132</v>
      </c>
      <c r="C17" s="32">
        <v>2</v>
      </c>
      <c r="D17" s="32">
        <v>3</v>
      </c>
      <c r="E17" s="32">
        <v>3</v>
      </c>
      <c r="F17" s="32">
        <v>1</v>
      </c>
      <c r="G17" s="32">
        <v>3</v>
      </c>
      <c r="H17" s="32">
        <v>2</v>
      </c>
      <c r="I17" s="32">
        <v>1</v>
      </c>
    </row>
    <row r="18" spans="2:9" ht="12.75">
      <c r="B18" s="33" t="s">
        <v>133</v>
      </c>
      <c r="C18" s="34">
        <v>2</v>
      </c>
      <c r="D18" s="34">
        <v>2</v>
      </c>
      <c r="E18" s="34">
        <v>3</v>
      </c>
      <c r="F18" s="34">
        <v>3</v>
      </c>
      <c r="G18" s="34">
        <v>3</v>
      </c>
      <c r="H18" s="34">
        <v>3</v>
      </c>
      <c r="I18" s="34">
        <v>2</v>
      </c>
    </row>
    <row r="19" spans="1:9" ht="15">
      <c r="A19" s="78"/>
      <c r="B19" s="78"/>
      <c r="C19" s="28"/>
      <c r="D19" s="28"/>
      <c r="E19" s="28"/>
      <c r="F19" s="28"/>
      <c r="G19" s="28"/>
      <c r="H19" s="28"/>
      <c r="I19" s="28"/>
    </row>
    <row r="20" spans="1:9" ht="15">
      <c r="A20" s="321" t="s">
        <v>140</v>
      </c>
      <c r="B20" s="321"/>
      <c r="C20" s="28"/>
      <c r="D20" s="28"/>
      <c r="E20" s="28"/>
      <c r="F20" s="28"/>
      <c r="G20" s="28"/>
      <c r="H20" s="28"/>
      <c r="I20" s="28"/>
    </row>
    <row r="21" spans="2:9" ht="12.75">
      <c r="B21" s="35" t="s">
        <v>134</v>
      </c>
      <c r="C21" s="36">
        <v>6</v>
      </c>
      <c r="D21" s="37">
        <v>5</v>
      </c>
      <c r="E21" s="37">
        <v>3</v>
      </c>
      <c r="F21" s="37">
        <v>5</v>
      </c>
      <c r="G21" s="37">
        <v>5</v>
      </c>
      <c r="H21" s="37">
        <v>4</v>
      </c>
      <c r="I21" s="37">
        <v>5</v>
      </c>
    </row>
    <row r="22" spans="2:9" ht="12.75">
      <c r="B22" s="38" t="s">
        <v>135</v>
      </c>
      <c r="C22" s="39">
        <v>12</v>
      </c>
      <c r="D22" s="40">
        <v>11</v>
      </c>
      <c r="E22" s="40">
        <v>8</v>
      </c>
      <c r="F22" s="40">
        <v>13</v>
      </c>
      <c r="G22" s="40">
        <v>9</v>
      </c>
      <c r="H22" s="40">
        <v>5</v>
      </c>
      <c r="I22" s="40">
        <v>13</v>
      </c>
    </row>
    <row r="23" spans="2:9" ht="12.75">
      <c r="B23" s="38" t="s">
        <v>173</v>
      </c>
      <c r="C23" s="39">
        <v>9</v>
      </c>
      <c r="D23" s="40">
        <v>8</v>
      </c>
      <c r="E23" s="40">
        <v>4</v>
      </c>
      <c r="F23" s="40">
        <v>8</v>
      </c>
      <c r="G23" s="40">
        <v>6</v>
      </c>
      <c r="H23" s="40">
        <v>9</v>
      </c>
      <c r="I23" s="40">
        <v>7</v>
      </c>
    </row>
    <row r="24" spans="2:9" ht="12.75">
      <c r="B24" s="38" t="s">
        <v>179</v>
      </c>
      <c r="C24" s="39">
        <v>6</v>
      </c>
      <c r="D24" s="40">
        <v>6</v>
      </c>
      <c r="E24" s="40">
        <v>8</v>
      </c>
      <c r="F24" s="40">
        <v>8</v>
      </c>
      <c r="G24" s="40">
        <v>24</v>
      </c>
      <c r="H24" s="40">
        <v>12</v>
      </c>
      <c r="I24" s="40">
        <v>22</v>
      </c>
    </row>
    <row r="25" spans="2:9" ht="12.75">
      <c r="B25" s="41" t="s">
        <v>200</v>
      </c>
      <c r="C25" s="42">
        <v>3</v>
      </c>
      <c r="D25" s="43">
        <v>3</v>
      </c>
      <c r="E25" s="43">
        <v>3</v>
      </c>
      <c r="F25" s="43">
        <v>5</v>
      </c>
      <c r="G25" s="43">
        <v>5</v>
      </c>
      <c r="H25" s="43">
        <v>3</v>
      </c>
      <c r="I25" s="43">
        <v>3</v>
      </c>
    </row>
    <row r="26" spans="2:9" ht="12.75">
      <c r="B26" s="35" t="s">
        <v>136</v>
      </c>
      <c r="C26" s="44">
        <v>19</v>
      </c>
      <c r="D26" s="45">
        <v>26</v>
      </c>
      <c r="E26" s="45">
        <v>20</v>
      </c>
      <c r="F26" s="45">
        <v>21</v>
      </c>
      <c r="G26" s="45">
        <v>16</v>
      </c>
      <c r="H26" s="45">
        <v>17</v>
      </c>
      <c r="I26" s="45">
        <v>23</v>
      </c>
    </row>
    <row r="27" spans="2:9" ht="12.75">
      <c r="B27" s="38" t="s">
        <v>137</v>
      </c>
      <c r="C27" s="46">
        <v>18</v>
      </c>
      <c r="D27" s="47">
        <v>18</v>
      </c>
      <c r="E27" s="47">
        <v>14</v>
      </c>
      <c r="F27" s="47">
        <v>18</v>
      </c>
      <c r="G27" s="47">
        <v>14</v>
      </c>
      <c r="H27" s="47">
        <v>20</v>
      </c>
      <c r="I27" s="47">
        <v>16</v>
      </c>
    </row>
    <row r="28" spans="2:9" ht="12.75">
      <c r="B28" s="41" t="s">
        <v>138</v>
      </c>
      <c r="C28" s="48">
        <v>16</v>
      </c>
      <c r="D28" s="49">
        <v>19</v>
      </c>
      <c r="E28" s="49">
        <v>21</v>
      </c>
      <c r="F28" s="49">
        <v>21</v>
      </c>
      <c r="G28" s="49">
        <v>18</v>
      </c>
      <c r="H28" s="49">
        <v>21</v>
      </c>
      <c r="I28" s="49">
        <v>16</v>
      </c>
    </row>
    <row r="29" spans="1:9" ht="15">
      <c r="A29" s="78"/>
      <c r="B29" s="78"/>
      <c r="C29" s="28"/>
      <c r="D29" s="28"/>
      <c r="E29" s="28"/>
      <c r="F29" s="28"/>
      <c r="G29" s="28"/>
      <c r="H29" s="28"/>
      <c r="I29" s="28"/>
    </row>
    <row r="30" spans="1:9" ht="15">
      <c r="A30" s="321" t="s">
        <v>141</v>
      </c>
      <c r="B30" s="321"/>
      <c r="C30" s="28"/>
      <c r="D30" s="28"/>
      <c r="E30" s="28"/>
      <c r="F30" s="28"/>
      <c r="G30" s="28"/>
      <c r="H30" s="28"/>
      <c r="I30" s="28"/>
    </row>
    <row r="31" spans="1:9" s="83" customFormat="1" ht="8.25">
      <c r="A31" s="81"/>
      <c r="B31" s="81"/>
      <c r="C31" s="82"/>
      <c r="D31" s="82"/>
      <c r="E31" s="82"/>
      <c r="F31" s="82"/>
      <c r="G31" s="82"/>
      <c r="H31" s="82"/>
      <c r="I31" s="82"/>
    </row>
    <row r="32" spans="1:9" s="2" customFormat="1" ht="12.75">
      <c r="A32" s="322" t="str">
        <f>'GENERIERUNG WERTE'!B27</f>
        <v>Fertigkeiten Kampf</v>
      </c>
      <c r="B32" s="322"/>
      <c r="C32" s="50"/>
      <c r="D32" s="50"/>
      <c r="E32" s="50"/>
      <c r="F32" s="50"/>
      <c r="G32" s="50"/>
      <c r="H32" s="50"/>
      <c r="I32" s="50"/>
    </row>
    <row r="33" spans="1:9" s="2" customFormat="1" ht="12.75">
      <c r="A33" s="79"/>
      <c r="B33" s="54" t="s">
        <v>87</v>
      </c>
      <c r="C33" s="51">
        <v>3</v>
      </c>
      <c r="D33" s="30">
        <v>2</v>
      </c>
      <c r="E33" s="30">
        <v>0</v>
      </c>
      <c r="F33" s="30">
        <v>2</v>
      </c>
      <c r="G33" s="30">
        <v>0</v>
      </c>
      <c r="H33" s="30">
        <v>2</v>
      </c>
      <c r="I33" s="30">
        <v>0</v>
      </c>
    </row>
    <row r="34" spans="1:9" s="2" customFormat="1" ht="12.75">
      <c r="A34" s="79"/>
      <c r="B34" s="55" t="s">
        <v>88</v>
      </c>
      <c r="C34" s="52">
        <v>0</v>
      </c>
      <c r="D34" s="32">
        <v>4</v>
      </c>
      <c r="E34" s="32">
        <v>0</v>
      </c>
      <c r="F34" s="32">
        <v>2</v>
      </c>
      <c r="G34" s="32">
        <v>0</v>
      </c>
      <c r="H34" s="32">
        <v>6</v>
      </c>
      <c r="I34" s="32">
        <v>0</v>
      </c>
    </row>
    <row r="35" spans="1:9" s="2" customFormat="1" ht="12.75">
      <c r="A35" s="79"/>
      <c r="B35" s="55" t="s">
        <v>89</v>
      </c>
      <c r="C35" s="52">
        <v>0</v>
      </c>
      <c r="D35" s="32">
        <v>0</v>
      </c>
      <c r="E35" s="32">
        <v>0</v>
      </c>
      <c r="F35" s="32">
        <v>0</v>
      </c>
      <c r="G35" s="32">
        <v>0</v>
      </c>
      <c r="H35" s="32">
        <v>0</v>
      </c>
      <c r="I35" s="32">
        <v>6</v>
      </c>
    </row>
    <row r="36" spans="1:9" s="2" customFormat="1" ht="12.75">
      <c r="A36" s="79"/>
      <c r="B36" s="55" t="s">
        <v>90</v>
      </c>
      <c r="C36" s="52">
        <v>0</v>
      </c>
      <c r="D36" s="32">
        <v>6</v>
      </c>
      <c r="E36" s="32">
        <v>2</v>
      </c>
      <c r="F36" s="32">
        <v>6</v>
      </c>
      <c r="G36" s="32">
        <v>2</v>
      </c>
      <c r="H36" s="32">
        <v>0</v>
      </c>
      <c r="I36" s="32">
        <v>4</v>
      </c>
    </row>
    <row r="37" spans="1:9" s="2" customFormat="1" ht="12.75">
      <c r="A37" s="79"/>
      <c r="B37" s="56" t="s">
        <v>91</v>
      </c>
      <c r="C37" s="53">
        <v>3</v>
      </c>
      <c r="D37" s="34">
        <v>0</v>
      </c>
      <c r="E37" s="34">
        <v>0</v>
      </c>
      <c r="F37" s="34">
        <v>0</v>
      </c>
      <c r="G37" s="34">
        <v>0</v>
      </c>
      <c r="H37" s="34">
        <v>0</v>
      </c>
      <c r="I37" s="34">
        <v>0</v>
      </c>
    </row>
    <row r="38" spans="1:9" s="2" customFormat="1" ht="12.75">
      <c r="A38" s="79"/>
      <c r="B38" s="61" t="s">
        <v>92</v>
      </c>
      <c r="C38" s="57">
        <v>0</v>
      </c>
      <c r="D38" s="57">
        <v>0</v>
      </c>
      <c r="E38" s="57">
        <v>0</v>
      </c>
      <c r="F38" s="57">
        <v>0</v>
      </c>
      <c r="G38" s="57">
        <v>0</v>
      </c>
      <c r="H38" s="57">
        <v>0</v>
      </c>
      <c r="I38" s="58">
        <v>0</v>
      </c>
    </row>
    <row r="39" spans="1:9" s="2" customFormat="1" ht="12.75">
      <c r="A39" s="79"/>
      <c r="B39" s="62" t="s">
        <v>93</v>
      </c>
      <c r="C39" s="59">
        <v>0</v>
      </c>
      <c r="D39" s="59">
        <v>0</v>
      </c>
      <c r="E39" s="59">
        <v>0</v>
      </c>
      <c r="F39" s="59">
        <v>0</v>
      </c>
      <c r="G39" s="59">
        <v>0</v>
      </c>
      <c r="H39" s="59">
        <v>0</v>
      </c>
      <c r="I39" s="60">
        <v>0</v>
      </c>
    </row>
    <row r="40" spans="1:9" s="2" customFormat="1" ht="12.75">
      <c r="A40" s="79"/>
      <c r="B40" s="54" t="s">
        <v>94</v>
      </c>
      <c r="C40" s="51">
        <v>4</v>
      </c>
      <c r="D40" s="30">
        <v>0</v>
      </c>
      <c r="E40" s="30">
        <v>5</v>
      </c>
      <c r="F40" s="30">
        <v>0</v>
      </c>
      <c r="G40" s="30">
        <v>0</v>
      </c>
      <c r="H40" s="30">
        <v>0</v>
      </c>
      <c r="I40" s="30">
        <v>0</v>
      </c>
    </row>
    <row r="41" spans="1:9" s="2" customFormat="1" ht="12.75">
      <c r="A41" s="79"/>
      <c r="B41" s="56" t="s">
        <v>95</v>
      </c>
      <c r="C41" s="53">
        <v>0</v>
      </c>
      <c r="D41" s="34">
        <v>0</v>
      </c>
      <c r="E41" s="34">
        <v>0</v>
      </c>
      <c r="F41" s="34">
        <v>0</v>
      </c>
      <c r="G41" s="34">
        <v>0</v>
      </c>
      <c r="H41" s="34">
        <v>3</v>
      </c>
      <c r="I41" s="34">
        <v>0</v>
      </c>
    </row>
    <row r="42" spans="1:9" s="83" customFormat="1" ht="8.25">
      <c r="A42" s="81"/>
      <c r="B42" s="81"/>
      <c r="C42" s="82"/>
      <c r="D42" s="82"/>
      <c r="E42" s="82"/>
      <c r="F42" s="82"/>
      <c r="G42" s="82"/>
      <c r="H42" s="82"/>
      <c r="I42" s="82"/>
    </row>
    <row r="43" spans="1:9" s="2" customFormat="1" ht="12.75">
      <c r="A43" s="322" t="str">
        <f>'GENERIERUNG WERTE'!B38</f>
        <v>Fertigkeiten mit Abwehr</v>
      </c>
      <c r="B43" s="322"/>
      <c r="C43" s="50"/>
      <c r="D43" s="50"/>
      <c r="E43" s="50"/>
      <c r="F43" s="50"/>
      <c r="G43" s="50"/>
      <c r="H43" s="50"/>
      <c r="I43" s="50"/>
    </row>
    <row r="44" spans="1:9" s="2" customFormat="1" ht="12.75">
      <c r="A44" s="79"/>
      <c r="B44" s="54" t="s">
        <v>96</v>
      </c>
      <c r="C44" s="51">
        <v>0</v>
      </c>
      <c r="D44" s="30">
        <v>0</v>
      </c>
      <c r="E44" s="30">
        <v>0</v>
      </c>
      <c r="F44" s="30">
        <v>1</v>
      </c>
      <c r="G44" s="30">
        <v>0</v>
      </c>
      <c r="H44" s="30">
        <v>0</v>
      </c>
      <c r="I44" s="30">
        <v>6</v>
      </c>
    </row>
    <row r="45" spans="1:9" s="2" customFormat="1" ht="12.75">
      <c r="A45" s="79"/>
      <c r="B45" s="55" t="s">
        <v>118</v>
      </c>
      <c r="C45" s="52">
        <v>1</v>
      </c>
      <c r="D45" s="32">
        <v>4</v>
      </c>
      <c r="E45" s="32">
        <v>3</v>
      </c>
      <c r="F45" s="32">
        <v>2</v>
      </c>
      <c r="G45" s="32">
        <v>4</v>
      </c>
      <c r="H45" s="32">
        <v>2</v>
      </c>
      <c r="I45" s="32">
        <v>3</v>
      </c>
    </row>
    <row r="46" spans="1:9" s="2" customFormat="1" ht="12.75">
      <c r="A46" s="79"/>
      <c r="B46" s="56" t="s">
        <v>99</v>
      </c>
      <c r="C46" s="53">
        <v>2</v>
      </c>
      <c r="D46" s="34">
        <v>4</v>
      </c>
      <c r="E46" s="34">
        <v>0</v>
      </c>
      <c r="F46" s="34">
        <v>2</v>
      </c>
      <c r="G46" s="34">
        <v>0</v>
      </c>
      <c r="H46" s="34">
        <v>4</v>
      </c>
      <c r="I46" s="34">
        <v>2</v>
      </c>
    </row>
    <row r="47" spans="1:9" s="83" customFormat="1" ht="8.25">
      <c r="A47" s="81"/>
      <c r="B47" s="81"/>
      <c r="C47" s="82"/>
      <c r="D47" s="82"/>
      <c r="E47" s="82"/>
      <c r="F47" s="82"/>
      <c r="G47" s="82"/>
      <c r="H47" s="82"/>
      <c r="I47" s="82"/>
    </row>
    <row r="48" spans="1:9" s="2" customFormat="1" ht="12.75">
      <c r="A48" s="322" t="str">
        <f>'GENERIERUNG WERTE'!Q27</f>
        <v>Fertigkeiten Allgemein</v>
      </c>
      <c r="B48" s="322"/>
      <c r="C48" s="50"/>
      <c r="D48" s="50"/>
      <c r="E48" s="50"/>
      <c r="F48" s="50"/>
      <c r="G48" s="50"/>
      <c r="H48" s="50"/>
      <c r="I48" s="50"/>
    </row>
    <row r="49" spans="1:9" s="2" customFormat="1" ht="12.75">
      <c r="A49" s="79"/>
      <c r="B49" s="54" t="s">
        <v>109</v>
      </c>
      <c r="C49" s="51">
        <v>0</v>
      </c>
      <c r="D49" s="30">
        <v>0</v>
      </c>
      <c r="E49" s="30">
        <v>6</v>
      </c>
      <c r="F49" s="30">
        <v>0</v>
      </c>
      <c r="G49" s="30">
        <v>0</v>
      </c>
      <c r="H49" s="30">
        <v>0</v>
      </c>
      <c r="I49" s="30">
        <v>0</v>
      </c>
    </row>
    <row r="50" spans="1:9" s="2" customFormat="1" ht="12.75">
      <c r="A50" s="79"/>
      <c r="B50" s="55" t="s">
        <v>115</v>
      </c>
      <c r="C50" s="52">
        <v>0</v>
      </c>
      <c r="D50" s="32">
        <v>6</v>
      </c>
      <c r="E50" s="32">
        <v>0</v>
      </c>
      <c r="F50" s="32">
        <v>1</v>
      </c>
      <c r="G50" s="32">
        <v>0</v>
      </c>
      <c r="H50" s="32">
        <v>2</v>
      </c>
      <c r="I50" s="32">
        <v>0</v>
      </c>
    </row>
    <row r="51" spans="1:9" s="2" customFormat="1" ht="12.75">
      <c r="A51" s="79"/>
      <c r="B51" s="55" t="s">
        <v>100</v>
      </c>
      <c r="C51" s="52">
        <v>0</v>
      </c>
      <c r="D51" s="32">
        <v>2</v>
      </c>
      <c r="E51" s="32">
        <v>0</v>
      </c>
      <c r="F51" s="32">
        <v>0</v>
      </c>
      <c r="G51" s="32">
        <v>6</v>
      </c>
      <c r="H51" s="32">
        <v>4</v>
      </c>
      <c r="I51" s="32">
        <v>3</v>
      </c>
    </row>
    <row r="52" spans="1:9" s="2" customFormat="1" ht="12.75">
      <c r="A52" s="79"/>
      <c r="B52" s="55" t="s">
        <v>97</v>
      </c>
      <c r="C52" s="53">
        <v>3</v>
      </c>
      <c r="D52" s="34">
        <v>2</v>
      </c>
      <c r="E52" s="34">
        <v>0</v>
      </c>
      <c r="F52" s="34">
        <v>3</v>
      </c>
      <c r="G52" s="34">
        <v>0</v>
      </c>
      <c r="H52" s="34">
        <v>0</v>
      </c>
      <c r="I52" s="34">
        <v>5</v>
      </c>
    </row>
    <row r="53" spans="1:9" s="2" customFormat="1" ht="12.75">
      <c r="A53" s="79"/>
      <c r="B53" s="61" t="s">
        <v>116</v>
      </c>
      <c r="C53" s="57">
        <v>0</v>
      </c>
      <c r="D53" s="57">
        <v>0</v>
      </c>
      <c r="E53" s="57">
        <v>0</v>
      </c>
      <c r="F53" s="57">
        <v>0</v>
      </c>
      <c r="G53" s="57">
        <v>0</v>
      </c>
      <c r="H53" s="57">
        <v>0</v>
      </c>
      <c r="I53" s="58">
        <v>0</v>
      </c>
    </row>
    <row r="54" spans="1:9" s="2" customFormat="1" ht="12.75">
      <c r="A54" s="79"/>
      <c r="B54" s="62" t="s">
        <v>110</v>
      </c>
      <c r="C54" s="59">
        <v>0</v>
      </c>
      <c r="D54" s="59">
        <v>0</v>
      </c>
      <c r="E54" s="59">
        <v>0</v>
      </c>
      <c r="F54" s="59">
        <v>0</v>
      </c>
      <c r="G54" s="59">
        <v>0</v>
      </c>
      <c r="H54" s="59">
        <v>0</v>
      </c>
      <c r="I54" s="60">
        <v>0</v>
      </c>
    </row>
    <row r="55" spans="1:9" s="2" customFormat="1" ht="12.75">
      <c r="A55" s="79"/>
      <c r="B55" s="55" t="s">
        <v>117</v>
      </c>
      <c r="C55" s="51">
        <v>0</v>
      </c>
      <c r="D55" s="30">
        <v>2</v>
      </c>
      <c r="E55" s="30">
        <v>4</v>
      </c>
      <c r="F55" s="30">
        <v>1</v>
      </c>
      <c r="G55" s="30">
        <v>3</v>
      </c>
      <c r="H55" s="30">
        <v>2</v>
      </c>
      <c r="I55" s="30">
        <v>0</v>
      </c>
    </row>
    <row r="56" spans="1:9" s="2" customFormat="1" ht="12.75">
      <c r="A56" s="79"/>
      <c r="B56" s="55" t="s">
        <v>105</v>
      </c>
      <c r="C56" s="52">
        <v>0</v>
      </c>
      <c r="D56" s="32">
        <v>0</v>
      </c>
      <c r="E56" s="32">
        <v>0</v>
      </c>
      <c r="F56" s="32">
        <v>0</v>
      </c>
      <c r="G56" s="32">
        <v>0</v>
      </c>
      <c r="H56" s="32">
        <v>0</v>
      </c>
      <c r="I56" s="32">
        <v>0</v>
      </c>
    </row>
    <row r="57" spans="1:9" s="2" customFormat="1" ht="12.75">
      <c r="A57" s="79"/>
      <c r="B57" s="55" t="s">
        <v>101</v>
      </c>
      <c r="C57" s="52">
        <v>0</v>
      </c>
      <c r="D57" s="32">
        <v>4</v>
      </c>
      <c r="E57" s="32">
        <v>0</v>
      </c>
      <c r="F57" s="32">
        <v>0</v>
      </c>
      <c r="G57" s="32">
        <v>5</v>
      </c>
      <c r="H57" s="32">
        <v>4</v>
      </c>
      <c r="I57" s="32">
        <v>2</v>
      </c>
    </row>
    <row r="58" spans="1:9" s="2" customFormat="1" ht="12.75">
      <c r="A58" s="79"/>
      <c r="B58" s="55" t="s">
        <v>111</v>
      </c>
      <c r="C58" s="52">
        <v>0</v>
      </c>
      <c r="D58" s="32">
        <v>2</v>
      </c>
      <c r="E58" s="32">
        <v>6</v>
      </c>
      <c r="F58" s="32">
        <v>2</v>
      </c>
      <c r="G58" s="32">
        <v>4</v>
      </c>
      <c r="H58" s="32">
        <v>2</v>
      </c>
      <c r="I58" s="32">
        <v>0</v>
      </c>
    </row>
    <row r="59" spans="1:9" s="2" customFormat="1" ht="12.75">
      <c r="A59" s="79"/>
      <c r="B59" s="55" t="s">
        <v>106</v>
      </c>
      <c r="C59" s="53">
        <v>3</v>
      </c>
      <c r="D59" s="34">
        <v>0</v>
      </c>
      <c r="E59" s="34">
        <v>2</v>
      </c>
      <c r="F59" s="34">
        <v>3</v>
      </c>
      <c r="G59" s="34">
        <v>0</v>
      </c>
      <c r="H59" s="34">
        <v>0</v>
      </c>
      <c r="I59" s="34">
        <v>1</v>
      </c>
    </row>
    <row r="60" spans="1:9" s="2" customFormat="1" ht="12.75">
      <c r="A60" s="79"/>
      <c r="B60" s="61" t="s">
        <v>112</v>
      </c>
      <c r="C60" s="57">
        <v>0</v>
      </c>
      <c r="D60" s="57">
        <v>0</v>
      </c>
      <c r="E60" s="57">
        <v>0</v>
      </c>
      <c r="F60" s="57">
        <v>0</v>
      </c>
      <c r="G60" s="57">
        <v>0</v>
      </c>
      <c r="H60" s="57">
        <v>0</v>
      </c>
      <c r="I60" s="58">
        <v>0</v>
      </c>
    </row>
    <row r="61" spans="1:9" s="2" customFormat="1" ht="12.75">
      <c r="A61" s="79"/>
      <c r="B61" s="63" t="s">
        <v>121</v>
      </c>
      <c r="C61" s="64">
        <v>0</v>
      </c>
      <c r="D61" s="64">
        <v>0</v>
      </c>
      <c r="E61" s="64">
        <v>0</v>
      </c>
      <c r="F61" s="64">
        <v>0</v>
      </c>
      <c r="G61" s="64">
        <v>0</v>
      </c>
      <c r="H61" s="64">
        <v>0</v>
      </c>
      <c r="I61" s="65">
        <v>0</v>
      </c>
    </row>
    <row r="62" spans="1:9" s="2" customFormat="1" ht="12.75">
      <c r="A62" s="79"/>
      <c r="B62" s="63" t="s">
        <v>102</v>
      </c>
      <c r="C62" s="64">
        <v>0</v>
      </c>
      <c r="D62" s="64">
        <v>0</v>
      </c>
      <c r="E62" s="64">
        <v>0</v>
      </c>
      <c r="F62" s="64">
        <v>0</v>
      </c>
      <c r="G62" s="64">
        <v>0</v>
      </c>
      <c r="H62" s="64">
        <v>0</v>
      </c>
      <c r="I62" s="65">
        <v>0</v>
      </c>
    </row>
    <row r="63" spans="1:9" s="2" customFormat="1" ht="12.75">
      <c r="A63" s="79"/>
      <c r="B63" s="63" t="s">
        <v>113</v>
      </c>
      <c r="C63" s="64">
        <v>0</v>
      </c>
      <c r="D63" s="64">
        <v>0</v>
      </c>
      <c r="E63" s="64">
        <v>0</v>
      </c>
      <c r="F63" s="64">
        <v>0</v>
      </c>
      <c r="G63" s="64">
        <v>0</v>
      </c>
      <c r="H63" s="64">
        <v>0</v>
      </c>
      <c r="I63" s="65">
        <v>0</v>
      </c>
    </row>
    <row r="64" spans="1:9" s="2" customFormat="1" ht="12.75">
      <c r="A64" s="79"/>
      <c r="B64" s="62" t="s">
        <v>114</v>
      </c>
      <c r="C64" s="59">
        <v>0</v>
      </c>
      <c r="D64" s="59">
        <v>0</v>
      </c>
      <c r="E64" s="59">
        <v>0</v>
      </c>
      <c r="F64" s="59">
        <v>0</v>
      </c>
      <c r="G64" s="59">
        <v>0</v>
      </c>
      <c r="H64" s="59">
        <v>0</v>
      </c>
      <c r="I64" s="60">
        <v>0</v>
      </c>
    </row>
    <row r="65" spans="1:9" s="2" customFormat="1" ht="12.75">
      <c r="A65" s="79"/>
      <c r="B65" s="55" t="s">
        <v>103</v>
      </c>
      <c r="C65" s="51">
        <v>6</v>
      </c>
      <c r="D65" s="30">
        <v>0</v>
      </c>
      <c r="E65" s="30">
        <v>3</v>
      </c>
      <c r="F65" s="30">
        <v>0</v>
      </c>
      <c r="G65" s="30">
        <v>0</v>
      </c>
      <c r="H65" s="30">
        <v>0</v>
      </c>
      <c r="I65" s="30">
        <v>0</v>
      </c>
    </row>
    <row r="66" spans="1:9" s="2" customFormat="1" ht="12.75">
      <c r="A66" s="79"/>
      <c r="B66" s="55" t="s">
        <v>119</v>
      </c>
      <c r="C66" s="52">
        <v>0</v>
      </c>
      <c r="D66" s="32">
        <v>0</v>
      </c>
      <c r="E66" s="32">
        <v>6</v>
      </c>
      <c r="F66" s="32">
        <v>2</v>
      </c>
      <c r="G66" s="32">
        <v>3</v>
      </c>
      <c r="H66" s="32">
        <v>2</v>
      </c>
      <c r="I66" s="32">
        <v>0</v>
      </c>
    </row>
    <row r="67" spans="1:9" s="2" customFormat="1" ht="12.75">
      <c r="A67" s="79"/>
      <c r="B67" s="55" t="s">
        <v>107</v>
      </c>
      <c r="C67" s="53">
        <v>1</v>
      </c>
      <c r="D67" s="34">
        <v>0</v>
      </c>
      <c r="E67" s="34">
        <v>0</v>
      </c>
      <c r="F67" s="34">
        <v>1</v>
      </c>
      <c r="G67" s="34">
        <v>0</v>
      </c>
      <c r="H67" s="34">
        <v>0</v>
      </c>
      <c r="I67" s="34">
        <v>0</v>
      </c>
    </row>
    <row r="68" spans="1:9" s="2" customFormat="1" ht="12.75">
      <c r="A68" s="79"/>
      <c r="B68" s="61" t="s">
        <v>98</v>
      </c>
      <c r="C68" s="57">
        <v>0</v>
      </c>
      <c r="D68" s="57">
        <v>0</v>
      </c>
      <c r="E68" s="57">
        <v>0</v>
      </c>
      <c r="F68" s="57">
        <v>0</v>
      </c>
      <c r="G68" s="57">
        <v>0</v>
      </c>
      <c r="H68" s="57">
        <v>0</v>
      </c>
      <c r="I68" s="58">
        <v>0</v>
      </c>
    </row>
    <row r="69" spans="1:9" s="2" customFormat="1" ht="12.75">
      <c r="A69" s="79"/>
      <c r="B69" s="62" t="s">
        <v>122</v>
      </c>
      <c r="C69" s="59">
        <v>0</v>
      </c>
      <c r="D69" s="59">
        <v>0</v>
      </c>
      <c r="E69" s="59">
        <v>0</v>
      </c>
      <c r="F69" s="59">
        <v>0</v>
      </c>
      <c r="G69" s="59">
        <v>0</v>
      </c>
      <c r="H69" s="59">
        <v>0</v>
      </c>
      <c r="I69" s="60">
        <v>0</v>
      </c>
    </row>
    <row r="70" spans="1:9" s="2" customFormat="1" ht="12.75">
      <c r="A70" s="79"/>
      <c r="B70" s="55" t="s">
        <v>108</v>
      </c>
      <c r="C70" s="51">
        <v>0</v>
      </c>
      <c r="D70" s="30">
        <v>0</v>
      </c>
      <c r="E70" s="30">
        <v>5</v>
      </c>
      <c r="F70" s="30">
        <v>6</v>
      </c>
      <c r="G70" s="30">
        <v>1</v>
      </c>
      <c r="H70" s="30">
        <v>0</v>
      </c>
      <c r="I70" s="30">
        <v>0</v>
      </c>
    </row>
    <row r="71" spans="1:9" s="2" customFormat="1" ht="12.75">
      <c r="A71" s="79"/>
      <c r="B71" s="55" t="s">
        <v>123</v>
      </c>
      <c r="C71" s="52">
        <v>3</v>
      </c>
      <c r="D71" s="32">
        <v>4</v>
      </c>
      <c r="E71" s="32">
        <v>0</v>
      </c>
      <c r="F71" s="32">
        <v>0</v>
      </c>
      <c r="G71" s="32">
        <v>0</v>
      </c>
      <c r="H71" s="32">
        <v>0</v>
      </c>
      <c r="I71" s="32">
        <v>0</v>
      </c>
    </row>
    <row r="72" spans="1:9" s="2" customFormat="1" ht="12.75">
      <c r="A72" s="79"/>
      <c r="B72" s="55" t="s">
        <v>124</v>
      </c>
      <c r="C72" s="53">
        <v>5</v>
      </c>
      <c r="D72" s="34">
        <v>0</v>
      </c>
      <c r="E72" s="34">
        <v>0</v>
      </c>
      <c r="F72" s="34">
        <v>0</v>
      </c>
      <c r="G72" s="34">
        <v>0</v>
      </c>
      <c r="H72" s="34">
        <v>0</v>
      </c>
      <c r="I72" s="34">
        <v>0</v>
      </c>
    </row>
    <row r="73" spans="1:9" s="2" customFormat="1" ht="12.75">
      <c r="A73" s="79"/>
      <c r="B73" s="61" t="s">
        <v>120</v>
      </c>
      <c r="C73" s="57">
        <v>0</v>
      </c>
      <c r="D73" s="57">
        <v>0</v>
      </c>
      <c r="E73" s="57">
        <v>0</v>
      </c>
      <c r="F73" s="57">
        <v>0</v>
      </c>
      <c r="G73" s="57">
        <v>0</v>
      </c>
      <c r="H73" s="57">
        <v>0</v>
      </c>
      <c r="I73" s="58">
        <v>0</v>
      </c>
    </row>
    <row r="74" spans="1:9" s="2" customFormat="1" ht="12.75">
      <c r="A74" s="79"/>
      <c r="B74" s="62" t="s">
        <v>104</v>
      </c>
      <c r="C74" s="59">
        <v>0</v>
      </c>
      <c r="D74" s="59">
        <v>0</v>
      </c>
      <c r="E74" s="59">
        <v>0</v>
      </c>
      <c r="F74" s="59">
        <v>0</v>
      </c>
      <c r="G74" s="59">
        <v>0</v>
      </c>
      <c r="H74" s="59">
        <v>0</v>
      </c>
      <c r="I74" s="60">
        <v>0</v>
      </c>
    </row>
    <row r="75" spans="1:9" s="2" customFormat="1" ht="12.75">
      <c r="A75" s="79"/>
      <c r="B75" s="56" t="s">
        <v>125</v>
      </c>
      <c r="C75" s="66">
        <v>6</v>
      </c>
      <c r="D75" s="67">
        <v>2</v>
      </c>
      <c r="E75" s="67">
        <v>2</v>
      </c>
      <c r="F75" s="67">
        <v>6</v>
      </c>
      <c r="G75" s="67">
        <v>2</v>
      </c>
      <c r="H75" s="67">
        <v>0</v>
      </c>
      <c r="I75" s="67">
        <v>3</v>
      </c>
    </row>
    <row r="76" spans="1:9" s="83" customFormat="1" ht="8.25">
      <c r="A76" s="81"/>
      <c r="B76" s="81"/>
      <c r="C76" s="82"/>
      <c r="D76" s="82"/>
      <c r="E76" s="82"/>
      <c r="F76" s="82"/>
      <c r="G76" s="82"/>
      <c r="H76" s="82"/>
      <c r="I76" s="82"/>
    </row>
    <row r="77" spans="1:9" s="2" customFormat="1" ht="12.75">
      <c r="A77" s="322" t="str">
        <f>'GENERIERUNG WERTE'!B45</f>
        <v>Fertigkeiten Zauber</v>
      </c>
      <c r="B77" s="322"/>
      <c r="C77" s="50"/>
      <c r="D77" s="50"/>
      <c r="E77" s="50"/>
      <c r="F77" s="50"/>
      <c r="G77" s="50"/>
      <c r="H77" s="50"/>
      <c r="I77" s="50"/>
    </row>
    <row r="78" spans="1:9" s="2" customFormat="1" ht="12.75">
      <c r="A78" s="79"/>
      <c r="B78" s="54" t="s">
        <v>201</v>
      </c>
      <c r="C78" s="51">
        <v>0</v>
      </c>
      <c r="D78" s="30">
        <v>0</v>
      </c>
      <c r="E78" s="30">
        <v>0</v>
      </c>
      <c r="F78" s="30">
        <v>0</v>
      </c>
      <c r="G78" s="30">
        <v>6</v>
      </c>
      <c r="H78" s="30">
        <v>6</v>
      </c>
      <c r="I78" s="30">
        <v>0</v>
      </c>
    </row>
    <row r="79" spans="1:9" s="2" customFormat="1" ht="12.75">
      <c r="A79" s="79"/>
      <c r="B79" s="55" t="s">
        <v>204</v>
      </c>
      <c r="C79" s="52">
        <v>0</v>
      </c>
      <c r="D79" s="32">
        <v>0</v>
      </c>
      <c r="E79" s="32">
        <v>0</v>
      </c>
      <c r="F79" s="32">
        <v>0</v>
      </c>
      <c r="G79" s="32">
        <v>0</v>
      </c>
      <c r="H79" s="32">
        <v>0</v>
      </c>
      <c r="I79" s="32">
        <v>1</v>
      </c>
    </row>
    <row r="80" spans="1:9" s="2" customFormat="1" ht="12.75">
      <c r="A80" s="79"/>
      <c r="B80" s="55" t="s">
        <v>205</v>
      </c>
      <c r="C80" s="52">
        <v>4</v>
      </c>
      <c r="D80" s="32">
        <v>0</v>
      </c>
      <c r="E80" s="32">
        <v>0</v>
      </c>
      <c r="F80" s="32">
        <v>0</v>
      </c>
      <c r="G80" s="32">
        <v>0</v>
      </c>
      <c r="H80" s="32">
        <v>0</v>
      </c>
      <c r="I80" s="32">
        <v>0</v>
      </c>
    </row>
    <row r="81" spans="1:9" s="2" customFormat="1" ht="12.75">
      <c r="A81" s="79"/>
      <c r="B81" s="55" t="s">
        <v>206</v>
      </c>
      <c r="C81" s="52">
        <v>0</v>
      </c>
      <c r="D81" s="32">
        <v>0</v>
      </c>
      <c r="E81" s="32">
        <v>0</v>
      </c>
      <c r="F81" s="32">
        <v>4</v>
      </c>
      <c r="G81" s="32">
        <v>0</v>
      </c>
      <c r="H81" s="32">
        <v>0</v>
      </c>
      <c r="I81" s="32">
        <v>0</v>
      </c>
    </row>
    <row r="82" spans="1:9" s="2" customFormat="1" ht="12.75">
      <c r="A82" s="79"/>
      <c r="B82" s="55" t="s">
        <v>202</v>
      </c>
      <c r="C82" s="52">
        <v>0</v>
      </c>
      <c r="D82" s="32">
        <v>0</v>
      </c>
      <c r="E82" s="32">
        <v>0</v>
      </c>
      <c r="F82" s="32">
        <v>0</v>
      </c>
      <c r="G82" s="32">
        <v>2</v>
      </c>
      <c r="H82" s="32">
        <v>5</v>
      </c>
      <c r="I82" s="32">
        <v>0</v>
      </c>
    </row>
    <row r="83" spans="1:9" s="2" customFormat="1" ht="12.75">
      <c r="A83" s="79"/>
      <c r="B83" s="56" t="s">
        <v>203</v>
      </c>
      <c r="C83" s="53">
        <v>0</v>
      </c>
      <c r="D83" s="34">
        <v>0</v>
      </c>
      <c r="E83" s="34">
        <v>0</v>
      </c>
      <c r="F83" s="34">
        <v>0</v>
      </c>
      <c r="G83" s="34">
        <v>6</v>
      </c>
      <c r="H83" s="34">
        <v>0</v>
      </c>
      <c r="I83" s="34">
        <v>6</v>
      </c>
    </row>
    <row r="84" spans="1:9" ht="12.75">
      <c r="A84" s="80"/>
      <c r="B84" s="80"/>
      <c r="C84" s="28"/>
      <c r="D84" s="28"/>
      <c r="E84" s="28"/>
      <c r="F84" s="28"/>
      <c r="G84" s="28"/>
      <c r="H84" s="28"/>
      <c r="I84" s="28"/>
    </row>
    <row r="85" spans="1:9" ht="12.75">
      <c r="A85" s="80"/>
      <c r="B85" s="80"/>
      <c r="C85" s="28"/>
      <c r="D85" s="28"/>
      <c r="E85" s="28"/>
      <c r="F85" s="28"/>
      <c r="G85" s="28"/>
      <c r="H85" s="28"/>
      <c r="I85" s="28"/>
    </row>
    <row r="86" spans="1:9" ht="12.75">
      <c r="A86" s="80"/>
      <c r="B86" s="68" t="s">
        <v>322</v>
      </c>
      <c r="C86" s="69">
        <f aca="true" t="shared" si="0" ref="C86:I86">SUM(C10:C18)</f>
        <v>20</v>
      </c>
      <c r="D86" s="69">
        <f t="shared" si="0"/>
        <v>20</v>
      </c>
      <c r="E86" s="69">
        <f t="shared" si="0"/>
        <v>20</v>
      </c>
      <c r="F86" s="69">
        <f t="shared" si="0"/>
        <v>20</v>
      </c>
      <c r="G86" s="69">
        <f t="shared" si="0"/>
        <v>20</v>
      </c>
      <c r="H86" s="69">
        <f t="shared" si="0"/>
        <v>20</v>
      </c>
      <c r="I86" s="69">
        <f t="shared" si="0"/>
        <v>20</v>
      </c>
    </row>
    <row r="87" spans="1:9" ht="12.75">
      <c r="A87" s="80"/>
      <c r="B87" s="70" t="s">
        <v>321</v>
      </c>
      <c r="C87" s="71">
        <f>SUM(C33:C46,C44:C75,C78:C83)</f>
        <v>47</v>
      </c>
      <c r="D87" s="71">
        <f>SUM(D33:D46,D44:D75,D78:D83)</f>
        <v>52</v>
      </c>
      <c r="E87" s="71">
        <f>SUM(E33:E46,E44:E75,E78:E83)</f>
        <v>47</v>
      </c>
      <c r="F87" s="71">
        <f>SUM(F33:F46,F44:F75,F78:F83)</f>
        <v>49</v>
      </c>
      <c r="G87" s="71">
        <f>SUM(G33:G46,G44:G75,G78:G83)</f>
        <v>48</v>
      </c>
      <c r="H87" s="71">
        <f>SUM(H33:H46,H44:H75,H78:H83)</f>
        <v>50</v>
      </c>
      <c r="I87" s="71">
        <f>SUM(I33:I46,I44:I75,I78:I83)</f>
        <v>53</v>
      </c>
    </row>
    <row r="88" spans="1:9" ht="12.75">
      <c r="A88" s="80"/>
      <c r="B88" s="70" t="s">
        <v>350</v>
      </c>
      <c r="C88" s="71">
        <v>8</v>
      </c>
      <c r="D88" s="71">
        <v>6</v>
      </c>
      <c r="E88" s="71">
        <v>7</v>
      </c>
      <c r="F88" s="71">
        <v>5</v>
      </c>
      <c r="G88" s="71">
        <v>6</v>
      </c>
      <c r="H88" s="71">
        <v>5</v>
      </c>
      <c r="I88" s="71">
        <v>7</v>
      </c>
    </row>
    <row r="89" spans="1:9" ht="12.75">
      <c r="A89" s="80"/>
      <c r="B89" s="70" t="s">
        <v>351</v>
      </c>
      <c r="C89" s="71">
        <v>5</v>
      </c>
      <c r="D89" s="71">
        <v>5</v>
      </c>
      <c r="E89" s="71">
        <v>6</v>
      </c>
      <c r="F89" s="71">
        <v>6</v>
      </c>
      <c r="G89" s="71">
        <v>6</v>
      </c>
      <c r="H89" s="71">
        <v>5</v>
      </c>
      <c r="I89" s="71">
        <v>5</v>
      </c>
    </row>
    <row r="90" spans="1:9" ht="12.75">
      <c r="A90" s="80"/>
      <c r="B90" s="72" t="s">
        <v>353</v>
      </c>
      <c r="C90" s="73">
        <v>2</v>
      </c>
      <c r="D90" s="73">
        <v>2</v>
      </c>
      <c r="E90" s="73">
        <v>3</v>
      </c>
      <c r="F90" s="73">
        <v>3</v>
      </c>
      <c r="G90" s="73">
        <v>3</v>
      </c>
      <c r="H90" s="73">
        <v>2</v>
      </c>
      <c r="I90" s="73">
        <v>3</v>
      </c>
    </row>
    <row r="91" spans="1:9" ht="12.75">
      <c r="A91" s="80"/>
      <c r="B91" s="74">
        <v>2</v>
      </c>
      <c r="C91" s="75"/>
      <c r="D91" s="75"/>
      <c r="E91" s="75"/>
      <c r="F91" s="75"/>
      <c r="G91" s="75"/>
      <c r="H91" s="75"/>
      <c r="I91" s="75"/>
    </row>
    <row r="92" spans="1:9" ht="12.75">
      <c r="A92" s="80"/>
      <c r="B92" s="76">
        <v>2</v>
      </c>
      <c r="C92" s="75"/>
      <c r="D92" s="75"/>
      <c r="E92" s="75"/>
      <c r="F92" s="75"/>
      <c r="G92" s="75"/>
      <c r="H92" s="75"/>
      <c r="I92" s="75"/>
    </row>
    <row r="93" spans="1:9" ht="12.75">
      <c r="A93" s="80"/>
      <c r="B93" s="68" t="s">
        <v>352</v>
      </c>
      <c r="C93" s="69">
        <f aca="true" t="shared" si="1" ref="C93:I93">C87+C88*$B$91+(C89-C90)*$B$92</f>
        <v>69</v>
      </c>
      <c r="D93" s="69">
        <f t="shared" si="1"/>
        <v>70</v>
      </c>
      <c r="E93" s="69">
        <f t="shared" si="1"/>
        <v>67</v>
      </c>
      <c r="F93" s="69">
        <f t="shared" si="1"/>
        <v>65</v>
      </c>
      <c r="G93" s="69">
        <f t="shared" si="1"/>
        <v>66</v>
      </c>
      <c r="H93" s="69">
        <f t="shared" si="1"/>
        <v>66</v>
      </c>
      <c r="I93" s="69">
        <f t="shared" si="1"/>
        <v>71</v>
      </c>
    </row>
    <row r="94" spans="1:9" ht="12.75">
      <c r="A94" s="80"/>
      <c r="B94" s="72" t="s">
        <v>374</v>
      </c>
      <c r="C94" s="73">
        <f aca="true" t="shared" si="2" ref="C94:I94">C93-ROUND(AVERAGE($C$93:$I$93),0)</f>
        <v>1</v>
      </c>
      <c r="D94" s="73">
        <f t="shared" si="2"/>
        <v>2</v>
      </c>
      <c r="E94" s="73">
        <f t="shared" si="2"/>
        <v>-1</v>
      </c>
      <c r="F94" s="73">
        <f t="shared" si="2"/>
        <v>-3</v>
      </c>
      <c r="G94" s="73">
        <f t="shared" si="2"/>
        <v>-2</v>
      </c>
      <c r="H94" s="73">
        <f t="shared" si="2"/>
        <v>-2</v>
      </c>
      <c r="I94" s="73">
        <f t="shared" si="2"/>
        <v>3</v>
      </c>
    </row>
  </sheetData>
  <sheetProtection sheet="1"/>
  <mergeCells count="9">
    <mergeCell ref="A48:B48"/>
    <mergeCell ref="A77:B77"/>
    <mergeCell ref="A30:B30"/>
    <mergeCell ref="A32:B32"/>
    <mergeCell ref="A43:B43"/>
    <mergeCell ref="A1:I1"/>
    <mergeCell ref="A3:B3"/>
    <mergeCell ref="A9:B9"/>
    <mergeCell ref="A20:B20"/>
  </mergeCells>
  <conditionalFormatting sqref="B69 B54 B74 B61:B64 B39">
    <cfRule type="cellIs" priority="1" dxfId="2" operator="equal" stopIfTrue="1">
      <formula>CONCATENATE($B39,VLOOKUP($B39,FERTIGKEITTABLEAU,5))</formula>
    </cfRule>
  </conditionalFormatting>
  <conditionalFormatting sqref="C33:I37 C65:I67 C70:I72 C55:I59 C49:I52 C75:I75 C40:I41 C44:I46 C78:I83">
    <cfRule type="cellIs" priority="4" dxfId="0" operator="greaterThan" stopIfTrue="1">
      <formula>MAXIMUMFERTIGKEITGENERIERUNG</formula>
    </cfRule>
  </conditionalFormatting>
  <conditionalFormatting sqref="C10:I18">
    <cfRule type="cellIs" priority="3" dxfId="0" operator="greaterThan" stopIfTrue="1">
      <formula>MAXIMUMATTRIBUTGENERIERUNG</formula>
    </cfRule>
  </conditionalFormatting>
  <dataValidations count="1">
    <dataValidation type="list" allowBlank="1" showInputMessage="1" showErrorMessage="1" sqref="C5:I5">
      <formula1>RASSE</formula1>
    </dataValidation>
  </dataValidations>
  <printOptions/>
  <pageMargins left="0.3937007874015748" right="0.3937007874015748" top="0.5905511811023623" bottom="0.5905511811023623" header="0.3937007874015748" footer="0.3937007874015748"/>
  <pageSetup fitToHeight="1" fitToWidth="1" horizontalDpi="300" verticalDpi="300" orientation="portrait" paperSize="9" scale="62" r:id="rId1"/>
  <headerFooter alignWithMargins="0">
    <oddHeader>&amp;R&amp;"Verdana,Standard"&amp;8Splittermond - Charakter-Generator (Beta) - v.1.1</oddHeader>
    <oddFooter>&amp;L&amp;"Verdana,Standard"&amp;8Marcus Renner - 18.06.2013</oddFooter>
  </headerFooter>
</worksheet>
</file>

<file path=xl/worksheets/sheet7.xml><?xml version="1.0" encoding="utf-8"?>
<worksheet xmlns="http://schemas.openxmlformats.org/spreadsheetml/2006/main" xmlns:r="http://schemas.openxmlformats.org/officeDocument/2006/relationships">
  <sheetPr>
    <tabColor indexed="63"/>
    <pageSetUpPr fitToPage="1"/>
  </sheetPr>
  <dimension ref="A1:I52"/>
  <sheetViews>
    <sheetView showGridLines="0" zoomScale="115" zoomScaleNormal="115" zoomScalePageLayoutView="0" workbookViewId="0" topLeftCell="A1">
      <pane ySplit="2" topLeftCell="BM3" activePane="bottomLeft" state="frozen"/>
      <selection pane="topLeft" activeCell="A4" sqref="A4"/>
      <selection pane="bottomLeft" activeCell="A3" sqref="A3"/>
    </sheetView>
  </sheetViews>
  <sheetFormatPr defaultColWidth="11.421875" defaultRowHeight="12.75"/>
  <cols>
    <col min="1" max="1" width="32.57421875" style="8" bestFit="1" customWidth="1"/>
    <col min="2" max="2" width="22.28125" style="8" bestFit="1" customWidth="1"/>
    <col min="3" max="3" width="3.140625" style="8" customWidth="1"/>
    <col min="4" max="4" width="23.421875" style="8" bestFit="1" customWidth="1"/>
    <col min="5" max="5" width="12.7109375" style="8" bestFit="1" customWidth="1"/>
    <col min="6" max="6" width="13.00390625" style="8" bestFit="1" customWidth="1"/>
    <col min="7" max="7" width="12.00390625" style="8" bestFit="1" customWidth="1"/>
    <col min="8" max="8" width="3.28125" style="8" customWidth="1"/>
    <col min="9" max="9" width="14.57421875" style="8" bestFit="1" customWidth="1"/>
    <col min="10" max="10" width="24.28125" style="8" customWidth="1"/>
    <col min="11" max="11" width="20.7109375" style="8" bestFit="1" customWidth="1"/>
    <col min="12" max="12" width="31.28125" style="8" bestFit="1" customWidth="1"/>
    <col min="13" max="16384" width="11.421875" style="8" customWidth="1"/>
  </cols>
  <sheetData>
    <row r="1" spans="1:9" ht="19.5">
      <c r="A1" s="320" t="s">
        <v>381</v>
      </c>
      <c r="B1" s="320"/>
      <c r="C1" s="320"/>
      <c r="D1" s="320"/>
      <c r="E1" s="320"/>
      <c r="F1" s="320"/>
      <c r="G1" s="320"/>
      <c r="H1" s="320"/>
      <c r="I1" s="320"/>
    </row>
    <row r="3" spans="1:9" ht="12.75">
      <c r="A3" s="12" t="s">
        <v>198</v>
      </c>
      <c r="B3" s="13" t="s">
        <v>368</v>
      </c>
      <c r="D3" s="12" t="s">
        <v>185</v>
      </c>
      <c r="E3" s="14" t="s">
        <v>189</v>
      </c>
      <c r="F3" s="14" t="s">
        <v>186</v>
      </c>
      <c r="G3" s="15" t="s">
        <v>187</v>
      </c>
      <c r="I3" s="16" t="s">
        <v>367</v>
      </c>
    </row>
    <row r="4" spans="1:9" ht="12.75">
      <c r="A4" s="17" t="s">
        <v>188</v>
      </c>
      <c r="B4" s="18">
        <v>5</v>
      </c>
      <c r="D4" s="151">
        <v>0</v>
      </c>
      <c r="E4" s="20"/>
      <c r="F4" s="21">
        <v>0</v>
      </c>
      <c r="G4" s="22">
        <v>0</v>
      </c>
      <c r="I4" s="18">
        <v>-20</v>
      </c>
    </row>
    <row r="5" spans="1:9" ht="12.75">
      <c r="A5" s="17" t="s">
        <v>195</v>
      </c>
      <c r="B5" s="18">
        <v>12</v>
      </c>
      <c r="D5" s="19" t="s">
        <v>181</v>
      </c>
      <c r="E5" s="20" t="str">
        <f>$D$21</f>
        <v>Mystik</v>
      </c>
      <c r="F5" s="21">
        <v>0</v>
      </c>
      <c r="G5" s="22">
        <v>0</v>
      </c>
      <c r="I5" s="18">
        <v>-19</v>
      </c>
    </row>
    <row r="6" spans="1:9" ht="12.75">
      <c r="A6" s="17" t="s">
        <v>196</v>
      </c>
      <c r="B6" s="18">
        <v>12</v>
      </c>
      <c r="D6" s="19" t="s">
        <v>182</v>
      </c>
      <c r="E6" s="20" t="str">
        <f>$D$23</f>
        <v>Verstand</v>
      </c>
      <c r="F6" s="21">
        <v>-2</v>
      </c>
      <c r="G6" s="22">
        <v>2</v>
      </c>
      <c r="I6" s="18">
        <v>-18</v>
      </c>
    </row>
    <row r="7" spans="1:9" ht="12.75">
      <c r="A7" s="17" t="s">
        <v>197</v>
      </c>
      <c r="B7" s="18">
        <v>12</v>
      </c>
      <c r="D7" s="19" t="s">
        <v>180</v>
      </c>
      <c r="E7" s="20"/>
      <c r="F7" s="21">
        <v>0</v>
      </c>
      <c r="G7" s="22">
        <v>0</v>
      </c>
      <c r="I7" s="18">
        <v>-17</v>
      </c>
    </row>
    <row r="8" spans="1:9" ht="12.75">
      <c r="A8" s="17" t="s">
        <v>328</v>
      </c>
      <c r="B8" s="18">
        <v>9</v>
      </c>
      <c r="D8" s="19" t="s">
        <v>184</v>
      </c>
      <c r="E8" s="20" t="str">
        <f>$D$22</f>
        <v>Stärke</v>
      </c>
      <c r="F8" s="21">
        <v>1</v>
      </c>
      <c r="G8" s="22">
        <v>-1</v>
      </c>
      <c r="I8" s="18">
        <v>-16</v>
      </c>
    </row>
    <row r="9" spans="1:9" ht="12.75">
      <c r="A9" s="17" t="s">
        <v>199</v>
      </c>
      <c r="B9" s="18">
        <v>3</v>
      </c>
      <c r="D9" s="19" t="s">
        <v>183</v>
      </c>
      <c r="E9" s="20" t="str">
        <f>$D$20</f>
        <v>Konstitution</v>
      </c>
      <c r="F9" s="21">
        <v>-1</v>
      </c>
      <c r="G9" s="22">
        <v>1</v>
      </c>
      <c r="I9" s="18">
        <v>-15</v>
      </c>
    </row>
    <row r="10" spans="1:9" ht="12.75">
      <c r="A10" s="17" t="s">
        <v>214</v>
      </c>
      <c r="B10" s="18">
        <v>1</v>
      </c>
      <c r="I10" s="18">
        <v>-14</v>
      </c>
    </row>
    <row r="11" spans="1:9" ht="12.75">
      <c r="A11" s="17" t="s">
        <v>333</v>
      </c>
      <c r="B11" s="18">
        <v>3</v>
      </c>
      <c r="D11" s="16" t="s">
        <v>509</v>
      </c>
      <c r="E11" s="16" t="s">
        <v>525</v>
      </c>
      <c r="I11" s="18">
        <v>-13</v>
      </c>
    </row>
    <row r="12" spans="1:9" ht="12.75">
      <c r="A12" s="17" t="s">
        <v>332</v>
      </c>
      <c r="B12" s="18">
        <v>8</v>
      </c>
      <c r="D12" s="18" t="s">
        <v>511</v>
      </c>
      <c r="E12" s="18">
        <v>1</v>
      </c>
      <c r="I12" s="18">
        <v>-12</v>
      </c>
    </row>
    <row r="13" spans="1:9" ht="12.75">
      <c r="A13" s="17" t="s">
        <v>348</v>
      </c>
      <c r="B13" s="18">
        <v>20</v>
      </c>
      <c r="D13" s="18" t="s">
        <v>510</v>
      </c>
      <c r="E13" s="18">
        <v>2</v>
      </c>
      <c r="I13" s="18">
        <v>-11</v>
      </c>
    </row>
    <row r="14" spans="1:9" ht="12.75">
      <c r="A14" s="17" t="s">
        <v>215</v>
      </c>
      <c r="B14" s="18">
        <v>0</v>
      </c>
      <c r="I14" s="18">
        <v>-10</v>
      </c>
    </row>
    <row r="15" spans="1:9" ht="12.75">
      <c r="A15" s="17" t="s">
        <v>334</v>
      </c>
      <c r="B15" s="18">
        <v>6</v>
      </c>
      <c r="D15" s="12" t="s">
        <v>143</v>
      </c>
      <c r="E15" s="15" t="s">
        <v>144</v>
      </c>
      <c r="I15" s="18">
        <v>-9</v>
      </c>
    </row>
    <row r="16" spans="1:9" ht="12.75">
      <c r="A16" s="17" t="s">
        <v>331</v>
      </c>
      <c r="B16" s="18">
        <v>15</v>
      </c>
      <c r="D16" s="19" t="s">
        <v>126</v>
      </c>
      <c r="E16" s="22" t="s">
        <v>145</v>
      </c>
      <c r="I16" s="18">
        <v>-8</v>
      </c>
    </row>
    <row r="17" spans="1:9" ht="12.75">
      <c r="A17" s="17" t="s">
        <v>347</v>
      </c>
      <c r="B17" s="18">
        <v>60</v>
      </c>
      <c r="D17" s="19" t="s">
        <v>127</v>
      </c>
      <c r="E17" s="22" t="s">
        <v>146</v>
      </c>
      <c r="I17" s="18">
        <v>-7</v>
      </c>
    </row>
    <row r="18" spans="1:9" ht="12.75">
      <c r="A18" s="17" t="s">
        <v>343</v>
      </c>
      <c r="B18" s="18">
        <v>6</v>
      </c>
      <c r="D18" s="19" t="s">
        <v>128</v>
      </c>
      <c r="E18" s="22" t="s">
        <v>147</v>
      </c>
      <c r="I18" s="18">
        <v>-6</v>
      </c>
    </row>
    <row r="19" spans="1:9" ht="12.75">
      <c r="A19" s="17" t="s">
        <v>344</v>
      </c>
      <c r="B19" s="18">
        <v>3</v>
      </c>
      <c r="D19" s="19" t="s">
        <v>129</v>
      </c>
      <c r="E19" s="22" t="s">
        <v>148</v>
      </c>
      <c r="I19" s="18">
        <v>-5</v>
      </c>
    </row>
    <row r="20" spans="1:9" ht="12.75">
      <c r="A20" s="17" t="s">
        <v>354</v>
      </c>
      <c r="B20" s="18">
        <v>2</v>
      </c>
      <c r="D20" s="19" t="s">
        <v>327</v>
      </c>
      <c r="E20" s="22" t="s">
        <v>149</v>
      </c>
      <c r="I20" s="18">
        <v>-4</v>
      </c>
    </row>
    <row r="21" spans="1:9" ht="12.75">
      <c r="A21" s="17" t="s">
        <v>355</v>
      </c>
      <c r="B21" s="18">
        <v>2</v>
      </c>
      <c r="D21" s="19" t="s">
        <v>131</v>
      </c>
      <c r="E21" s="22" t="s">
        <v>150</v>
      </c>
      <c r="I21" s="18">
        <v>-3</v>
      </c>
    </row>
    <row r="22" spans="1:9" ht="12.75">
      <c r="A22" s="17" t="s">
        <v>494</v>
      </c>
      <c r="B22" s="18" t="s">
        <v>495</v>
      </c>
      <c r="D22" s="19" t="s">
        <v>190</v>
      </c>
      <c r="E22" s="22" t="s">
        <v>151</v>
      </c>
      <c r="I22" s="18">
        <v>-2</v>
      </c>
    </row>
    <row r="23" spans="1:9" ht="12.75">
      <c r="A23" s="17" t="s">
        <v>346</v>
      </c>
      <c r="B23" s="18" t="s">
        <v>345</v>
      </c>
      <c r="D23" s="19" t="s">
        <v>132</v>
      </c>
      <c r="E23" s="22" t="s">
        <v>152</v>
      </c>
      <c r="I23" s="18">
        <v>-1</v>
      </c>
    </row>
    <row r="24" spans="1:9" ht="12.75">
      <c r="A24" s="17" t="s">
        <v>456</v>
      </c>
      <c r="B24" s="18" t="s">
        <v>457</v>
      </c>
      <c r="D24" s="19" t="s">
        <v>133</v>
      </c>
      <c r="E24" s="22" t="s">
        <v>153</v>
      </c>
      <c r="I24" s="18">
        <v>0</v>
      </c>
    </row>
    <row r="25" spans="1:9" ht="12.75">
      <c r="A25" s="17" t="s">
        <v>468</v>
      </c>
      <c r="B25" s="156" t="s">
        <v>473</v>
      </c>
      <c r="I25" s="18">
        <v>1</v>
      </c>
    </row>
    <row r="26" spans="1:9" ht="12.75">
      <c r="A26" s="17" t="s">
        <v>500</v>
      </c>
      <c r="B26" s="212" t="s">
        <v>501</v>
      </c>
      <c r="I26" s="18">
        <v>2</v>
      </c>
    </row>
    <row r="27" ht="12.75">
      <c r="I27" s="18">
        <v>3</v>
      </c>
    </row>
    <row r="28" spans="1:9" ht="12.75">
      <c r="A28" s="16" t="s">
        <v>193</v>
      </c>
      <c r="I28" s="18">
        <v>4</v>
      </c>
    </row>
    <row r="29" spans="1:9" ht="12.75">
      <c r="A29" s="24" t="s">
        <v>223</v>
      </c>
      <c r="I29" s="18">
        <v>5</v>
      </c>
    </row>
    <row r="30" spans="1:9" ht="12.75">
      <c r="A30" s="24" t="s">
        <v>221</v>
      </c>
      <c r="D30" s="12" t="s">
        <v>325</v>
      </c>
      <c r="E30" s="15" t="s">
        <v>326</v>
      </c>
      <c r="I30" s="18">
        <v>6</v>
      </c>
    </row>
    <row r="31" spans="1:9" ht="12.75">
      <c r="A31" s="24" t="s">
        <v>222</v>
      </c>
      <c r="D31" s="19" t="s">
        <v>175</v>
      </c>
      <c r="E31" s="22">
        <v>-2</v>
      </c>
      <c r="I31" s="18">
        <v>7</v>
      </c>
    </row>
    <row r="32" spans="1:9" ht="12.75">
      <c r="A32" s="24" t="s">
        <v>219</v>
      </c>
      <c r="D32" s="19" t="s">
        <v>176</v>
      </c>
      <c r="E32" s="22">
        <v>-4</v>
      </c>
      <c r="I32" s="18">
        <v>8</v>
      </c>
    </row>
    <row r="33" spans="1:9" ht="12.75">
      <c r="A33" s="24" t="s">
        <v>220</v>
      </c>
      <c r="D33" s="19" t="s">
        <v>177</v>
      </c>
      <c r="E33" s="22">
        <v>-6</v>
      </c>
      <c r="I33" s="18">
        <v>9</v>
      </c>
    </row>
    <row r="34" spans="1:9" ht="12.75">
      <c r="A34" s="24" t="s">
        <v>218</v>
      </c>
      <c r="D34" s="19" t="s">
        <v>178</v>
      </c>
      <c r="E34" s="22">
        <v>-8</v>
      </c>
      <c r="I34" s="18">
        <v>10</v>
      </c>
    </row>
    <row r="35" spans="1:9" ht="12.75">
      <c r="A35" s="24" t="s">
        <v>217</v>
      </c>
      <c r="D35" s="19" t="s">
        <v>174</v>
      </c>
      <c r="E35" s="22">
        <v>0</v>
      </c>
      <c r="I35" s="18">
        <v>11</v>
      </c>
    </row>
    <row r="36" ht="12.75">
      <c r="I36" s="18">
        <v>12</v>
      </c>
    </row>
    <row r="37" spans="1:9" ht="12.75">
      <c r="A37" s="16" t="s">
        <v>523</v>
      </c>
      <c r="B37" s="16" t="s">
        <v>524</v>
      </c>
      <c r="I37" s="18">
        <v>13</v>
      </c>
    </row>
    <row r="38" spans="1:9" ht="12.75">
      <c r="A38" s="24" t="s">
        <v>226</v>
      </c>
      <c r="B38" s="24" t="s">
        <v>519</v>
      </c>
      <c r="I38" s="18">
        <v>14</v>
      </c>
    </row>
    <row r="39" spans="1:9" ht="12.75">
      <c r="A39" s="24" t="s">
        <v>516</v>
      </c>
      <c r="B39" s="24" t="s">
        <v>228</v>
      </c>
      <c r="I39" s="18">
        <v>15</v>
      </c>
    </row>
    <row r="40" spans="1:9" ht="12.75">
      <c r="A40" s="24" t="s">
        <v>517</v>
      </c>
      <c r="B40" s="24" t="s">
        <v>230</v>
      </c>
      <c r="I40" s="18">
        <v>16</v>
      </c>
    </row>
    <row r="41" spans="1:9" ht="12.75">
      <c r="A41" s="24" t="s">
        <v>229</v>
      </c>
      <c r="B41" s="24" t="s">
        <v>520</v>
      </c>
      <c r="I41" s="18">
        <v>17</v>
      </c>
    </row>
    <row r="42" spans="1:9" ht="12.75">
      <c r="A42" s="24" t="s">
        <v>518</v>
      </c>
      <c r="B42" s="24" t="s">
        <v>227</v>
      </c>
      <c r="I42" s="18">
        <v>18</v>
      </c>
    </row>
    <row r="43" spans="1:9" ht="12.75">
      <c r="A43" s="24" t="s">
        <v>225</v>
      </c>
      <c r="B43" s="24" t="s">
        <v>521</v>
      </c>
      <c r="I43" s="18">
        <v>19</v>
      </c>
    </row>
    <row r="44" spans="1:9" ht="12.75">
      <c r="A44" s="24" t="s">
        <v>224</v>
      </c>
      <c r="B44" s="24" t="s">
        <v>522</v>
      </c>
      <c r="I44" s="18">
        <v>20</v>
      </c>
    </row>
    <row r="46" spans="1:2" ht="12.75">
      <c r="A46" s="9" t="s">
        <v>253</v>
      </c>
      <c r="B46" s="9" t="s">
        <v>238</v>
      </c>
    </row>
    <row r="47" spans="1:2" ht="114.75">
      <c r="A47" s="10" t="s">
        <v>231</v>
      </c>
      <c r="B47" s="10" t="s">
        <v>252</v>
      </c>
    </row>
    <row r="48" spans="1:2" ht="102">
      <c r="A48" s="10" t="s">
        <v>232</v>
      </c>
      <c r="B48" s="10" t="s">
        <v>37</v>
      </c>
    </row>
    <row r="49" spans="1:2" ht="114.75">
      <c r="A49" s="10" t="s">
        <v>233</v>
      </c>
      <c r="B49" s="10" t="s">
        <v>52</v>
      </c>
    </row>
    <row r="50" spans="1:2" ht="89.25">
      <c r="A50" s="10" t="s">
        <v>234</v>
      </c>
      <c r="B50" s="10" t="s">
        <v>53</v>
      </c>
    </row>
    <row r="51" spans="1:2" ht="89.25">
      <c r="A51" s="10" t="s">
        <v>51</v>
      </c>
      <c r="B51" s="10" t="s">
        <v>54</v>
      </c>
    </row>
    <row r="52" spans="1:2" ht="89.25">
      <c r="A52" s="10" t="s">
        <v>235</v>
      </c>
      <c r="B52" s="10" t="s">
        <v>55</v>
      </c>
    </row>
  </sheetData>
  <sheetProtection sheet="1"/>
  <mergeCells count="1">
    <mergeCell ref="A1:I1"/>
  </mergeCells>
  <printOptions/>
  <pageMargins left="0.3937007874015748" right="0.3937007874015748" top="0.5905511811023623" bottom="0.5905511811023623" header="0.3937007874015748" footer="0.3937007874015748"/>
  <pageSetup fitToHeight="1" fitToWidth="1" horizontalDpi="300" verticalDpi="300" orientation="portrait" paperSize="9" scale="65" r:id="rId1"/>
  <headerFooter alignWithMargins="0">
    <oddHeader>&amp;R&amp;"Verdana,Standard"&amp;8Splittermond - Charakter-Generator (Beta) - v.1.1</oddHeader>
    <oddFooter>&amp;L&amp;"Verdana,Standard"&amp;8Marcus Renner - 18.06.2013</oddFooter>
  </headerFooter>
</worksheet>
</file>

<file path=xl/worksheets/sheet8.xml><?xml version="1.0" encoding="utf-8"?>
<worksheet xmlns="http://schemas.openxmlformats.org/spreadsheetml/2006/main" xmlns:r="http://schemas.openxmlformats.org/officeDocument/2006/relationships">
  <sheetPr>
    <tabColor indexed="8"/>
    <pageSetUpPr fitToPage="1"/>
  </sheetPr>
  <dimension ref="A1:L75"/>
  <sheetViews>
    <sheetView showGridLines="0" zoomScalePageLayoutView="0" workbookViewId="0" topLeftCell="A1">
      <pane ySplit="5" topLeftCell="BM6" activePane="bottomLeft" state="frozen"/>
      <selection pane="topLeft" activeCell="A4" sqref="A4"/>
      <selection pane="bottomLeft" activeCell="A6" sqref="A6"/>
    </sheetView>
  </sheetViews>
  <sheetFormatPr defaultColWidth="11.421875" defaultRowHeight="12.75"/>
  <cols>
    <col min="1" max="1" width="23.8515625" style="136" bestFit="1" customWidth="1"/>
    <col min="2" max="2" width="23.7109375" style="136" bestFit="1" customWidth="1"/>
    <col min="3" max="3" width="22.00390625" style="136" bestFit="1" customWidth="1"/>
    <col min="4" max="4" width="2.57421875" style="136" customWidth="1"/>
    <col min="5" max="5" width="4.421875" style="136" bestFit="1" customWidth="1"/>
    <col min="6" max="6" width="26.7109375" style="136" bestFit="1" customWidth="1"/>
    <col min="7" max="7" width="2.57421875" style="136" customWidth="1"/>
    <col min="8" max="8" width="5.28125" style="136" customWidth="1"/>
    <col min="9" max="9" width="28.140625" style="136" bestFit="1" customWidth="1"/>
    <col min="10" max="10" width="2.57421875" style="136" customWidth="1"/>
    <col min="11" max="11" width="25.421875" style="136" bestFit="1" customWidth="1"/>
    <col min="12" max="12" width="28.140625" style="136" bestFit="1" customWidth="1"/>
    <col min="13" max="16384" width="11.421875" style="136" customWidth="1"/>
  </cols>
  <sheetData>
    <row r="1" spans="1:12" s="8" customFormat="1" ht="19.5">
      <c r="A1" s="117" t="s">
        <v>392</v>
      </c>
      <c r="B1" s="117"/>
      <c r="C1" s="117"/>
      <c r="D1" s="117"/>
      <c r="E1" s="117"/>
      <c r="F1" s="117"/>
      <c r="G1" s="117"/>
      <c r="H1" s="117"/>
      <c r="I1" s="117"/>
      <c r="J1" s="117"/>
      <c r="K1" s="117"/>
      <c r="L1" s="117"/>
    </row>
    <row r="2" s="8" customFormat="1" ht="12.75"/>
    <row r="3" spans="1:12" ht="12.75">
      <c r="A3" s="131" t="s">
        <v>391</v>
      </c>
      <c r="B3" s="131"/>
      <c r="C3" s="8"/>
      <c r="E3" s="131" t="s">
        <v>393</v>
      </c>
      <c r="F3" s="131"/>
      <c r="H3" s="131" t="s">
        <v>394</v>
      </c>
      <c r="I3" s="131"/>
      <c r="K3" s="131" t="s">
        <v>422</v>
      </c>
      <c r="L3" s="131"/>
    </row>
    <row r="4" spans="1:12" ht="12.75">
      <c r="A4" s="8"/>
      <c r="B4" s="8"/>
      <c r="C4" s="8"/>
      <c r="E4" s="131"/>
      <c r="F4" s="131"/>
      <c r="H4" s="131"/>
      <c r="I4" s="131"/>
      <c r="K4" s="131"/>
      <c r="L4" s="131"/>
    </row>
    <row r="5" spans="1:12" ht="12.75">
      <c r="A5" s="16" t="s">
        <v>341</v>
      </c>
      <c r="B5" s="16" t="s">
        <v>340</v>
      </c>
      <c r="C5" s="16" t="s">
        <v>493</v>
      </c>
      <c r="E5" s="116">
        <v>0</v>
      </c>
      <c r="F5" s="16" t="s">
        <v>237</v>
      </c>
      <c r="H5" s="116">
        <v>0</v>
      </c>
      <c r="I5" s="16" t="s">
        <v>237</v>
      </c>
      <c r="K5" s="116" t="s">
        <v>144</v>
      </c>
      <c r="L5" s="16" t="s">
        <v>421</v>
      </c>
    </row>
    <row r="6" spans="1:12" ht="12.75">
      <c r="A6" s="25" t="str">
        <f>'GENERIERUNG WERTE'!B3</f>
        <v>Attribut-Punkte</v>
      </c>
      <c r="B6" s="114">
        <v>20</v>
      </c>
      <c r="C6" s="114">
        <f aca="true" t="shared" si="0" ref="C6:C15">B6+MIN(MANIPULATIONSTABELLE)</f>
        <v>0</v>
      </c>
      <c r="E6" s="18">
        <f>IF('GENERIERUNG VORTEILE'!G7&gt;0,SUM(E5:E$5)+1,0)</f>
        <v>0</v>
      </c>
      <c r="F6" s="24" t="str">
        <f>'GENERIERUNG VORTEILE'!C7</f>
        <v>Albenohren</v>
      </c>
      <c r="H6" s="18">
        <f>IF('GENERIERUNG MEISTERSCHAFTEN'!G7&gt;0,SUM(H5:H$5)+1,0)</f>
        <v>0</v>
      </c>
      <c r="I6" s="24" t="str">
        <f>'GENERIERUNG MEISTERSCHAFTEN'!C7</f>
        <v>Ausweichen</v>
      </c>
      <c r="K6" s="18" t="s">
        <v>423</v>
      </c>
      <c r="L6" s="24" t="str">
        <f ca="1" t="shared" si="1" ref="L6:L37">INDIRECT(K6)</f>
        <v>Akrobatik</v>
      </c>
    </row>
    <row r="7" spans="1:12" ht="12.75">
      <c r="A7" s="25" t="str">
        <f>'GENERIERUNG WERTE'!B4</f>
        <v>Erfahrungs-Punkte</v>
      </c>
      <c r="B7" s="114">
        <v>20</v>
      </c>
      <c r="C7" s="114">
        <f t="shared" si="0"/>
        <v>0</v>
      </c>
      <c r="E7" s="18">
        <f>IF('GENERIERUNG VORTEILE'!G8&gt;0,SUM(E$5:E6)+1,0)</f>
        <v>0</v>
      </c>
      <c r="F7" s="24" t="str">
        <f>'GENERIERUNG VORTEILE'!C8</f>
        <v>Angesehener Priester</v>
      </c>
      <c r="H7" s="18">
        <f>IF('GENERIERUNG MEISTERSCHAFTEN'!G8&gt;0,SUM(H$5:H6)+1,0)</f>
        <v>0</v>
      </c>
      <c r="I7" s="24" t="str">
        <f>'GENERIERUNG MEISTERSCHAFTEN'!C8</f>
        <v>Blitzreflexe</v>
      </c>
      <c r="K7" s="18" t="s">
        <v>485</v>
      </c>
      <c r="L7" s="24" t="str">
        <f ca="1" t="shared" si="1"/>
        <v>Akrobatik Abwehr</v>
      </c>
    </row>
    <row r="8" spans="1:12" ht="12.75">
      <c r="A8" s="25" t="str">
        <f>'GENERIERUNG WERTE'!$R18</f>
        <v>Fokus</v>
      </c>
      <c r="B8" s="114">
        <v>20</v>
      </c>
      <c r="C8" s="114">
        <f t="shared" si="0"/>
        <v>0</v>
      </c>
      <c r="E8" s="18">
        <f>IF('GENERIERUNG VORTEILE'!G9&gt;0,SUM(E$5:E7)+1,0)</f>
        <v>0</v>
      </c>
      <c r="F8" s="24" t="str">
        <f>'GENERIERUNG VORTEILE'!C9</f>
        <v>Artefakt Feuermagie</v>
      </c>
      <c r="H8" s="18">
        <f>IF('GENERIERUNG MEISTERSCHAFTEN'!G9&gt;0,SUM(H$5:H7)+1,0)</f>
        <v>0</v>
      </c>
      <c r="I8" s="24" t="str">
        <f>'GENERIERUNG MEISTERSCHAFTEN'!C9</f>
        <v>Effizienz</v>
      </c>
      <c r="K8" s="18" t="s">
        <v>424</v>
      </c>
      <c r="L8" s="24" t="str">
        <f ca="1" t="shared" si="1"/>
        <v>Alchemie</v>
      </c>
    </row>
    <row r="9" spans="1:12" ht="12.75">
      <c r="A9" s="25" t="str">
        <f>'GENERIERUNG WERTE'!$R23</f>
        <v>Geistiger Widerstand</v>
      </c>
      <c r="B9" s="114">
        <v>20</v>
      </c>
      <c r="C9" s="114">
        <f t="shared" si="0"/>
        <v>0</v>
      </c>
      <c r="E9" s="18">
        <f>IF('GENERIERUNG VORTEILE'!G10&gt;0,SUM(E$5:E8)+1,0)</f>
        <v>0</v>
      </c>
      <c r="F9" s="24" t="str">
        <f>'GENERIERUNG VORTEILE'!C10</f>
        <v>Attraktivität</v>
      </c>
      <c r="H9" s="18">
        <f>IF('GENERIERUNG MEISTERSCHAFTEN'!G10&gt;0,SUM(H$5:H8)+1,0)</f>
        <v>0</v>
      </c>
      <c r="I9" s="24" t="str">
        <f>'GENERIERUNG MEISTERSCHAFTEN'!C10</f>
        <v>Geselle</v>
      </c>
      <c r="K9" s="18" t="s">
        <v>425</v>
      </c>
      <c r="L9" s="24" t="str">
        <f ca="1" t="shared" si="1"/>
        <v>Anführen</v>
      </c>
    </row>
    <row r="10" spans="1:12" ht="12.75">
      <c r="A10" s="25" t="str">
        <f>'GENERIERUNG WERTE'!$R16</f>
        <v>Geschwindigkeit</v>
      </c>
      <c r="B10" s="114">
        <v>20</v>
      </c>
      <c r="C10" s="114">
        <f t="shared" si="0"/>
        <v>0</v>
      </c>
      <c r="E10" s="18">
        <f>IF('GENERIERUNG VORTEILE'!G11&gt;0,SUM(E$5:E9)+1,0)</f>
        <v>0</v>
      </c>
      <c r="F10" s="24" t="str">
        <f>'GENERIERUNG VORTEILE'!C11</f>
        <v>Balance</v>
      </c>
      <c r="H10" s="18">
        <f>IF('GENERIERUNG MEISTERSCHAFTEN'!G11&gt;0,SUM(H$5:H9)+1,0)</f>
        <v>0</v>
      </c>
      <c r="I10" s="24" t="str">
        <f>'GENERIERUNG MEISTERSCHAFTEN'!C11</f>
        <v>Sammeln</v>
      </c>
      <c r="K10" s="18" t="s">
        <v>426</v>
      </c>
      <c r="L10" s="24" t="str">
        <f ca="1" t="shared" si="1"/>
        <v>Arkane Kunde</v>
      </c>
    </row>
    <row r="11" spans="1:12" ht="12.75">
      <c r="A11" s="25" t="str">
        <f>'GENERIERUNG WERTE'!$R15</f>
        <v>Größe</v>
      </c>
      <c r="B11" s="114">
        <v>20</v>
      </c>
      <c r="C11" s="114">
        <f t="shared" si="0"/>
        <v>0</v>
      </c>
      <c r="E11" s="18">
        <f>IF('GENERIERUNG VORTEILE'!G12&gt;0,SUM(E$5:E10)+1,0)</f>
        <v>0</v>
      </c>
      <c r="F11" s="24" t="str">
        <f>'GENERIERUNG VORTEILE'!C12</f>
        <v>Dickschädel</v>
      </c>
      <c r="H11" s="18">
        <f>IF('GENERIERUNG MEISTERSCHAFTEN'!G12&gt;0,SUM(H$5:H10)+1,0)</f>
        <v>0</v>
      </c>
      <c r="I11" s="24" t="str">
        <f>'GENERIERUNG MEISTERSCHAFTEN'!C12</f>
        <v>Arkane Verteidigung</v>
      </c>
      <c r="K11" s="18" t="s">
        <v>427</v>
      </c>
      <c r="L11" s="24" t="str">
        <f ca="1" t="shared" si="1"/>
        <v>Athletik</v>
      </c>
    </row>
    <row r="12" spans="1:12" ht="12.75">
      <c r="A12" s="25" t="str">
        <f>'GENERIERUNG WERTE'!$R22</f>
        <v>Körperlicher Widerstand</v>
      </c>
      <c r="B12" s="114">
        <v>20</v>
      </c>
      <c r="C12" s="114">
        <f t="shared" si="0"/>
        <v>0</v>
      </c>
      <c r="E12" s="18">
        <f>IF('GENERIERUNG VORTEILE'!G13&gt;0,SUM(E$5:E11)+1,0)</f>
        <v>0</v>
      </c>
      <c r="F12" s="24" t="str">
        <f>'GENERIERUNG VORTEILE'!C13</f>
        <v>Ehrenkodex</v>
      </c>
      <c r="H12" s="18">
        <f>IF('GENERIERUNG MEISTERSCHAFTEN'!G13&gt;0,SUM(H$5:H11)+1,0)</f>
        <v>0</v>
      </c>
      <c r="I12" s="24" t="str">
        <f>'GENERIERUNG MEISTERSCHAFTEN'!C13</f>
        <v>Artefaktkunde</v>
      </c>
      <c r="K12" s="18" t="s">
        <v>145</v>
      </c>
      <c r="L12" s="24" t="str">
        <f ca="1" t="shared" si="1"/>
        <v>Ausstrahlung</v>
      </c>
    </row>
    <row r="13" spans="1:12" ht="12.75">
      <c r="A13" s="25" t="str">
        <f>'GENERIERUNG WERTE'!$R17</f>
        <v>Lebenspunkte</v>
      </c>
      <c r="B13" s="114">
        <v>20</v>
      </c>
      <c r="C13" s="114">
        <f t="shared" si="0"/>
        <v>0</v>
      </c>
      <c r="E13" s="18">
        <f>IF('GENERIERUNG VORTEILE'!G14&gt;0,SUM(E$5:E12)+1,0)</f>
        <v>0</v>
      </c>
      <c r="F13" s="24" t="str">
        <f>'GENERIERUNG VORTEILE'!C14</f>
        <v>Erbe der Feenwelt</v>
      </c>
      <c r="H13" s="18">
        <f>IF('GENERIERUNG MEISTERSCHAFTEN'!G14&gt;0,SUM(H$5:H12)+1,0)</f>
        <v>0</v>
      </c>
      <c r="I13" s="24" t="str">
        <f>'GENERIERUNG MEISTERSCHAFTEN'!C14</f>
        <v>Gegner durchschauen</v>
      </c>
      <c r="K13" s="18" t="s">
        <v>146</v>
      </c>
      <c r="L13" s="24" t="str">
        <f ca="1" t="shared" si="1"/>
        <v>Beweglichkeit</v>
      </c>
    </row>
    <row r="14" spans="1:12" ht="12.75">
      <c r="A14" s="25" t="str">
        <f>'GENERIERUNG WERTE'!$R19</f>
        <v>Splitterpunkte</v>
      </c>
      <c r="B14" s="114">
        <v>20</v>
      </c>
      <c r="C14" s="114">
        <f t="shared" si="0"/>
        <v>0</v>
      </c>
      <c r="E14" s="18">
        <f>IF('GENERIERUNG VORTEILE'!G15&gt;0,SUM(E$5:E13)+1,0)</f>
        <v>0</v>
      </c>
      <c r="F14" s="24" t="str">
        <f>'GENERIERUNG VORTEILE'!C15</f>
        <v>Erhöhte Fokusregeneration</v>
      </c>
      <c r="H14" s="18">
        <f>IF('GENERIERUNG MEISTERSCHAFTEN'!G15&gt;0,SUM(H$5:H13)+1,0)</f>
        <v>0</v>
      </c>
      <c r="I14" s="24" t="str">
        <f>'GENERIERUNG MEISTERSCHAFTEN'!C15</f>
        <v>Eiserner Wille</v>
      </c>
      <c r="K14" s="18" t="s">
        <v>428</v>
      </c>
      <c r="L14" s="24" t="str">
        <f ca="1" t="shared" si="1"/>
        <v>Darbietung</v>
      </c>
    </row>
    <row r="15" spans="1:12" ht="12.75">
      <c r="A15" s="25" t="str">
        <f>'GENERIERUNG WERTE'!$R21</f>
        <v>Verteidigung</v>
      </c>
      <c r="B15" s="114">
        <v>20</v>
      </c>
      <c r="C15" s="114">
        <f t="shared" si="0"/>
        <v>0</v>
      </c>
      <c r="E15" s="18">
        <f>IF('GENERIERUNG VORTEILE'!G16&gt;0,SUM(E$5:E14)+1,0)</f>
        <v>0</v>
      </c>
      <c r="F15" s="24" t="str">
        <f>'GENERIERUNG VORTEILE'!C16</f>
        <v>Erhöhter Fokus</v>
      </c>
      <c r="H15" s="18">
        <f>IF('GENERIERUNG MEISTERSCHAFTEN'!G16&gt;0,SUM(H$5:H14)+1,0)</f>
        <v>0</v>
      </c>
      <c r="I15" s="24" t="str">
        <f>'GENERIERUNG MEISTERSCHAFTEN'!C16</f>
        <v>Diagnose</v>
      </c>
      <c r="K15" s="18" t="s">
        <v>429</v>
      </c>
      <c r="L15" s="24" t="str">
        <f ca="1" t="shared" si="1"/>
        <v>Edelhandwerk</v>
      </c>
    </row>
    <row r="16" spans="5:12" ht="12.75">
      <c r="E16" s="18">
        <f>IF('GENERIERUNG VORTEILE'!G17&gt;0,SUM(E$5:E15)+1,0)</f>
        <v>0</v>
      </c>
      <c r="F16" s="24" t="str">
        <f>'GENERIERUNG VORTEILE'!C17</f>
        <v>Flink</v>
      </c>
      <c r="H16" s="18">
        <f>IF('GENERIERUNG MEISTERSCHAFTEN'!G17&gt;0,SUM(H$5:H15)+1,0)</f>
        <v>0</v>
      </c>
      <c r="I16" s="24" t="str">
        <f>'GENERIERUNG MEISTERSCHAFTEN'!C17</f>
        <v>Heilung fördern</v>
      </c>
      <c r="K16" s="18" t="s">
        <v>430</v>
      </c>
      <c r="L16" s="24" t="str">
        <f ca="1" t="shared" si="1"/>
        <v>Empathie</v>
      </c>
    </row>
    <row r="17" spans="5:12" ht="12.75">
      <c r="E17" s="18">
        <f>IF('GENERIERUNG VORTEILE'!G18&gt;0,SUM(E$5:E16)+1,0)</f>
        <v>0</v>
      </c>
      <c r="F17" s="24" t="str">
        <f>'GENERIERUNG VORTEILE'!C18</f>
        <v>Gesellig</v>
      </c>
      <c r="H17" s="18">
        <f>IF('GENERIERUNG MEISTERSCHAFTEN'!G18&gt;0,SUM(H$5:H16)+1,0)</f>
        <v>0</v>
      </c>
      <c r="I17" s="24" t="str">
        <f>'GENERIERUNG MEISTERSCHAFTEN'!C18</f>
        <v>Lebensretter</v>
      </c>
      <c r="K17" s="18" t="s">
        <v>431</v>
      </c>
      <c r="L17" s="24" t="str">
        <f ca="1" t="shared" si="1"/>
        <v>Entschlossenheit</v>
      </c>
    </row>
    <row r="18" spans="5:12" ht="12.75">
      <c r="E18" s="18">
        <f>IF('GENERIERUNG VORTEILE'!G19&gt;0,SUM(E$5:E17)+1,0)</f>
        <v>0</v>
      </c>
      <c r="F18" s="24" t="str">
        <f>'GENERIERUNG VORTEILE'!C19</f>
        <v>Giftresistenz</v>
      </c>
      <c r="H18" s="18">
        <f>IF('GENERIERUNG MEISTERSCHAFTEN'!G19&gt;0,SUM(H$5:H17)+1,0)</f>
        <v>0</v>
      </c>
      <c r="I18" s="24" t="str">
        <f>'GENERIERUNG MEISTERSCHAFTEN'!C19</f>
        <v>Durch die Gassen</v>
      </c>
      <c r="K18" s="18" t="s">
        <v>487</v>
      </c>
      <c r="L18" s="24" t="str">
        <f ca="1" t="shared" si="1"/>
        <v>Entschlossenheit Abwehr</v>
      </c>
    </row>
    <row r="19" spans="5:12" ht="12.75">
      <c r="E19" s="18">
        <f>IF('GENERIERUNG VORTEILE'!G20&gt;0,SUM(E$5:E18)+1,0)</f>
        <v>0</v>
      </c>
      <c r="F19" s="24" t="str">
        <f>'GENERIERUNG VORTEILE'!C20</f>
        <v>Gnomennase</v>
      </c>
      <c r="H19" s="18">
        <f>IF('GENERIERUNG MEISTERSCHAFTEN'!G20&gt;0,SUM(H$5:H18)+1,0)</f>
        <v>0</v>
      </c>
      <c r="I19" s="24" t="str">
        <f>'GENERIERUNG MEISTERSCHAFTEN'!C20</f>
        <v>Durch die Wildnis</v>
      </c>
      <c r="K19" s="18" t="s">
        <v>432</v>
      </c>
      <c r="L19" s="24" t="str">
        <f ca="1" t="shared" si="1"/>
        <v>Fingerfertigkeit</v>
      </c>
    </row>
    <row r="20" spans="5:12" ht="12.75">
      <c r="E20" s="18">
        <f>IF('GENERIERUNG VORTEILE'!G21&gt;0,SUM(E$5:E19)+1,0)</f>
        <v>0</v>
      </c>
      <c r="F20" s="24" t="str">
        <f>'GENERIERUNG VORTEILE'!C21</f>
        <v>Hetzjäger</v>
      </c>
      <c r="H20" s="18">
        <f>IF('GENERIERUNG MEISTERSCHAFTEN'!G21&gt;0,SUM(H$5:H19)+1,0)</f>
        <v>0</v>
      </c>
      <c r="I20" s="24" t="str">
        <f>'GENERIERUNG MEISTERSCHAFTEN'!C21</f>
        <v>Schmetterschlag</v>
      </c>
      <c r="K20" s="18" t="s">
        <v>433</v>
      </c>
      <c r="L20" s="24" t="str">
        <f ca="1" t="shared" si="1"/>
        <v>Fokus</v>
      </c>
    </row>
    <row r="21" spans="1:12" ht="12.75">
      <c r="A21" s="131" t="s">
        <v>390</v>
      </c>
      <c r="B21" s="131"/>
      <c r="C21" s="164"/>
      <c r="E21" s="18">
        <f>IF('GENERIERUNG VORTEILE'!G22&gt;0,SUM(E$5:E20)+1,0)</f>
        <v>0</v>
      </c>
      <c r="F21" s="24" t="str">
        <f>'GENERIERUNG VORTEILE'!C22</f>
        <v>Kind der Dämmerung</v>
      </c>
      <c r="H21" s="18">
        <f>IF('GENERIERUNG MEISTERSCHAFTEN'!G22&gt;0,SUM(H$5:H20)+1,0)</f>
        <v>0</v>
      </c>
      <c r="I21" s="24" t="str">
        <f>'GENERIERUNG MEISTERSCHAFTEN'!C22</f>
        <v>Umreißen</v>
      </c>
      <c r="K21" s="18" t="s">
        <v>147</v>
      </c>
      <c r="L21" s="24" t="str">
        <f ca="1" t="shared" si="1"/>
        <v>Geschicklichkeit</v>
      </c>
    </row>
    <row r="22" spans="1:12" ht="12.75">
      <c r="A22" s="116">
        <v>0</v>
      </c>
      <c r="B22" s="16" t="s">
        <v>389</v>
      </c>
      <c r="C22" s="164"/>
      <c r="E22" s="18">
        <f>IF('GENERIERUNG VORTEILE'!G23&gt;0,SUM(E$5:E21)+1,0)</f>
        <v>0</v>
      </c>
      <c r="F22" s="24" t="str">
        <f>'GENERIERUNG VORTEILE'!C23</f>
        <v>Kontakte</v>
      </c>
      <c r="H22" s="18">
        <f>IF('GENERIERUNG MEISTERSCHAFTEN'!G23&gt;0,SUM(H$5:H21)+1,0)</f>
        <v>0</v>
      </c>
      <c r="I22" s="24" t="str">
        <f>'GENERIERUNG MEISTERSCHAFTEN'!C23</f>
        <v>Starker Schildarm</v>
      </c>
      <c r="K22" s="18" t="s">
        <v>402</v>
      </c>
      <c r="L22" s="24" t="str">
        <f ca="1" t="shared" si="1"/>
        <v>Größe</v>
      </c>
    </row>
    <row r="23" spans="1:12" ht="12.75">
      <c r="A23" s="18">
        <f>IF('GENERIERUNG WERTE'!$F46&gt;0,SUM(A$22:A22)+1,0)</f>
        <v>0</v>
      </c>
      <c r="B23" s="24" t="str">
        <f>'GENERIERUNG WERTE'!$C46</f>
        <v>Magieschule Feuer</v>
      </c>
      <c r="C23" s="164"/>
      <c r="E23" s="18">
        <f>IF('GENERIERUNG VORTEILE'!G24&gt;0,SUM(E$5:E22)+1,0)</f>
        <v>0</v>
      </c>
      <c r="F23" s="24" t="str">
        <f>'GENERIERUNG VORTEILE'!C24</f>
        <v>Langlebigkeit</v>
      </c>
      <c r="H23" s="18">
        <f>IF('GENERIERUNG MEISTERSCHAFTEN'!G24&gt;0,SUM(H$5:H22)+1,0)</f>
        <v>0</v>
      </c>
      <c r="I23" s="24" t="str">
        <f>'GENERIERUNG MEISTERSCHAFTEN'!C24</f>
        <v>Verteidiger</v>
      </c>
      <c r="K23" s="18" t="s">
        <v>404</v>
      </c>
      <c r="L23" s="24" t="str">
        <f ca="1" t="shared" si="1"/>
        <v>Geschwindigkeit</v>
      </c>
    </row>
    <row r="24" spans="1:12" ht="12.75">
      <c r="A24" s="18">
        <f>IF('GENERIERUNG WERTE'!$F47&gt;0,SUM(A$22:A23)+1,0)</f>
        <v>0</v>
      </c>
      <c r="B24" s="24" t="str">
        <f>'GENERIERUNG WERTE'!$C47</f>
        <v>Magieschule Luft</v>
      </c>
      <c r="C24" s="164"/>
      <c r="E24" s="18">
        <f>IF('GENERIERUNG VORTEILE'!G25&gt;0,SUM(E$5:E23)+1,0)</f>
        <v>0</v>
      </c>
      <c r="F24" s="24" t="str">
        <f>'GENERIERUNG VORTEILE'!C25</f>
        <v>Natürliche Rüstung</v>
      </c>
      <c r="H24" s="18">
        <f>IF('GENERIERUNG MEISTERSCHAFTEN'!G25&gt;0,SUM(H$5:H23)+1,0)</f>
        <v>0</v>
      </c>
      <c r="I24" s="24" t="str">
        <f>'GENERIERUNG MEISTERSCHAFTEN'!C25</f>
        <v>Vorstürmen</v>
      </c>
      <c r="K24" s="18" t="s">
        <v>170</v>
      </c>
      <c r="L24" s="24" t="str">
        <f ca="1" t="shared" si="1"/>
        <v>Geschütze</v>
      </c>
    </row>
    <row r="25" spans="1:12" ht="12.75">
      <c r="A25" s="18">
        <f>IF('GENERIERUNG WERTE'!$F48&gt;0,SUM(A$22:A24)+1,0)</f>
        <v>0</v>
      </c>
      <c r="B25" s="24" t="str">
        <f>'GENERIERUNG WERTE'!$C48</f>
        <v>Magieschule Natur</v>
      </c>
      <c r="C25" s="164"/>
      <c r="E25" s="18">
        <f>IF('GENERIERUNG VORTEILE'!G26&gt;0,SUM(E$5:E24)+1,0)</f>
        <v>0</v>
      </c>
      <c r="F25" s="24" t="str">
        <f>'GENERIERUNG VORTEILE'!C26</f>
        <v>Richtungssinn</v>
      </c>
      <c r="H25" s="18">
        <f>IF('GENERIERUNG MEISTERSCHAFTEN'!G26&gt;0,SUM(H$5:H24)+1,0)</f>
        <v>0</v>
      </c>
      <c r="I25" s="24" t="str">
        <f>'GENERIERUNG MEISTERSCHAFTEN'!C26</f>
        <v>Schild umschlagen</v>
      </c>
      <c r="K25" s="18" t="s">
        <v>165</v>
      </c>
      <c r="L25" s="24" t="str">
        <f ca="1" t="shared" si="1"/>
        <v>Geschichte und Mythen</v>
      </c>
    </row>
    <row r="26" spans="1:12" ht="12.75">
      <c r="A26" s="18">
        <f>IF('GENERIERUNG WERTE'!$F49&gt;0,SUM(A$22:A25)+1,0)</f>
        <v>0</v>
      </c>
      <c r="B26" s="24" t="str">
        <f>'GENERIERUNG WERTE'!$C49</f>
        <v>Magieschule Schatten</v>
      </c>
      <c r="C26" s="164"/>
      <c r="E26" s="18">
        <f>IF('GENERIERUNG VORTEILE'!G27&gt;0,SUM(E$5:E25)+1,0)</f>
        <v>0</v>
      </c>
      <c r="F26" s="24" t="str">
        <f>'GENERIERUNG VORTEILE'!C27</f>
        <v>Scharfe Augen</v>
      </c>
      <c r="H26" s="18">
        <f>IF('GENERIERUNG MEISTERSCHAFTEN'!G27&gt;0,SUM(H$5:H25)+1,0)</f>
        <v>0</v>
      </c>
      <c r="I26" s="24" t="str">
        <f>'GENERIERUNG MEISTERSCHAFTEN'!C27</f>
        <v>Umreißen</v>
      </c>
      <c r="K26" s="18" t="s">
        <v>400</v>
      </c>
      <c r="L26" s="24" t="str">
        <f ca="1" t="shared" si="1"/>
        <v>Geistiger Widerstand</v>
      </c>
    </row>
    <row r="27" spans="1:12" ht="12.75">
      <c r="A27" s="18">
        <f>IF('GENERIERUNG WERTE'!$F50&gt;0,SUM(A$22:A26)+1,0)</f>
        <v>0</v>
      </c>
      <c r="B27" s="24" t="str">
        <f>'GENERIERUNG WERTE'!$C50</f>
        <v>Magieschule Stärkung</v>
      </c>
      <c r="C27" s="164"/>
      <c r="E27" s="18">
        <f>IF('GENERIERUNG VORTEILE'!G28&gt;0,SUM(E$5:E26)+1,0)</f>
        <v>0</v>
      </c>
      <c r="F27" s="24" t="str">
        <f>'GENERIERUNG VORTEILE'!C28</f>
        <v>Scharfe Ohren</v>
      </c>
      <c r="H27" s="18">
        <f>IF('GENERIERUNG MEISTERSCHAFTEN'!G28&gt;0,SUM(H$5:H26)+1,0)</f>
        <v>0</v>
      </c>
      <c r="I27" s="24" t="str">
        <f>'GENERIERUNG MEISTERSCHAFTEN'!C28</f>
        <v>Verwirren</v>
      </c>
      <c r="K27" s="18" t="s">
        <v>434</v>
      </c>
      <c r="L27" s="24" t="str">
        <f ca="1" t="shared" si="1"/>
        <v>Handgemenge</v>
      </c>
    </row>
    <row r="28" spans="1:12" ht="12.75">
      <c r="A28" s="18">
        <f>IF('GENERIERUNG WERTE'!$F51&gt;0,SUM(A$22:A27)+1,0)</f>
        <v>0</v>
      </c>
      <c r="B28" s="24" t="str">
        <f>'GENERIERUNG WERTE'!$C51</f>
        <v>Magieschule Zerstörung</v>
      </c>
      <c r="C28" s="164"/>
      <c r="E28" s="18">
        <f>IF('GENERIERUNG VORTEILE'!G29&gt;0,SUM(E$5:E27)+1,0)</f>
        <v>0</v>
      </c>
      <c r="F28" s="24" t="str">
        <f>'GENERIERUNG VORTEILE'!C29</f>
        <v>Scharfes Gehör</v>
      </c>
      <c r="H28" s="18">
        <f>IF('GENERIERUNG MEISTERSCHAFTEN'!G29&gt;0,SUM(H$5:H27)+1,0)</f>
        <v>0</v>
      </c>
      <c r="I28" s="24" t="str">
        <f>'GENERIERUNG MEISTERSCHAFTEN'!C29</f>
        <v>Feuerresistenz</v>
      </c>
      <c r="K28" s="18" t="s">
        <v>488</v>
      </c>
      <c r="L28" s="24" t="str">
        <f ca="1" t="shared" si="1"/>
        <v>Handgemenge Abwehr</v>
      </c>
    </row>
    <row r="29" spans="3:12" ht="12.75">
      <c r="C29" s="164"/>
      <c r="E29" s="18">
        <f>IF('GENERIERUNG VORTEILE'!G30&gt;0,SUM(E$5:E28)+1,0)</f>
        <v>0</v>
      </c>
      <c r="F29" s="24" t="str">
        <f>'GENERIERUNG VORTEILE'!C30</f>
        <v>Schnelle Heilung</v>
      </c>
      <c r="H29" s="18">
        <f>IF('GENERIERUNG MEISTERSCHAFTEN'!G30&gt;0,SUM(H$5:H28)+1,0)</f>
        <v>0</v>
      </c>
      <c r="I29" s="24" t="str">
        <f>'GENERIERUNG MEISTERSCHAFTEN'!C30</f>
        <v>Flammenherz</v>
      </c>
      <c r="K29" s="18" t="s">
        <v>435</v>
      </c>
      <c r="L29" s="24" t="str">
        <f ca="1" t="shared" si="1"/>
        <v>Heilkunde</v>
      </c>
    </row>
    <row r="30" spans="3:12" ht="12.75">
      <c r="C30" s="164"/>
      <c r="E30" s="18">
        <f>IF('GENERIERUNG VORTEILE'!G31&gt;0,SUM(E$5:E29)+1,0)</f>
        <v>0</v>
      </c>
      <c r="F30" s="24" t="str">
        <f>'GENERIERUNG VORTEILE'!C31</f>
        <v>Schöne Stimme</v>
      </c>
      <c r="H30" s="18">
        <f>IF('GENERIERUNG MEISTERSCHAFTEN'!G31&gt;0,SUM(H$5:H29)+1,0)</f>
        <v>0</v>
      </c>
      <c r="I30" s="24" t="str">
        <f>'GENERIERUNG MEISTERSCHAFTEN'!C31</f>
        <v>Fernzauberer</v>
      </c>
      <c r="K30" s="18" t="s">
        <v>436</v>
      </c>
      <c r="L30" s="24" t="str">
        <f ca="1" t="shared" si="1"/>
        <v>Hiebwaffen</v>
      </c>
    </row>
    <row r="31" spans="3:12" ht="12.75">
      <c r="C31" s="164"/>
      <c r="E31" s="18">
        <f>IF('GENERIERUNG VORTEILE'!G32&gt;0,SUM(E$5:E30)+1,0)</f>
        <v>0</v>
      </c>
      <c r="F31" s="24" t="str">
        <f>'GENERIERUNG VORTEILE'!C32</f>
        <v>Spürnase</v>
      </c>
      <c r="H31" s="18">
        <f>IF('GENERIERUNG MEISTERSCHAFTEN'!G32&gt;0,SUM(H$5:H30)+1,0)</f>
        <v>0</v>
      </c>
      <c r="I31" s="24" t="str">
        <f>'GENERIERUNG MEISTERSCHAFTEN'!C32</f>
        <v>Jäger</v>
      </c>
      <c r="K31" s="18" t="s">
        <v>489</v>
      </c>
      <c r="L31" s="24" t="str">
        <f ca="1" t="shared" si="1"/>
        <v>Hiebwaffen Abwehr</v>
      </c>
    </row>
    <row r="32" spans="5:12" ht="12.75">
      <c r="E32" s="18">
        <f>IF('GENERIERUNG VORTEILE'!G33&gt;0,SUM(E$5:E31)+1,0)</f>
        <v>0</v>
      </c>
      <c r="F32" s="24" t="str">
        <f>'GENERIERUNG VORTEILE'!C33</f>
        <v>Stand</v>
      </c>
      <c r="H32" s="18">
        <f>IF('GENERIERUNG MEISTERSCHAFTEN'!G33&gt;0,SUM(H$5:H31)+1,0)</f>
        <v>0</v>
      </c>
      <c r="I32" s="24" t="str">
        <f>'GENERIERUNG MEISTERSCHAFTEN'!C33</f>
        <v>Feilscher</v>
      </c>
      <c r="K32" s="18" t="s">
        <v>166</v>
      </c>
      <c r="L32" s="24" t="str">
        <f ca="1" t="shared" si="1"/>
        <v>Heimlichkeit</v>
      </c>
    </row>
    <row r="33" spans="5:12" ht="12.75">
      <c r="E33" s="18">
        <f>IF('GENERIERUNG VORTEILE'!G34&gt;0,SUM(E$5:E32)+1,0)</f>
        <v>0</v>
      </c>
      <c r="F33" s="24" t="str">
        <f>'GENERIERUNG VORTEILE'!C34</f>
        <v>Tierfreund</v>
      </c>
      <c r="H33" s="18">
        <f>IF('GENERIERUNG MEISTERSCHAFTEN'!G34&gt;0,SUM(H$5:H32)+1,0)</f>
        <v>0</v>
      </c>
      <c r="I33" s="24" t="str">
        <f>'GENERIERUNG MEISTERSCHAFTEN'!C34</f>
        <v>Der richtige Ton</v>
      </c>
      <c r="K33" s="18" t="s">
        <v>437</v>
      </c>
      <c r="L33" s="24" t="str">
        <f ca="1" t="shared" si="1"/>
        <v>Holzarbeiten</v>
      </c>
    </row>
    <row r="34" spans="5:12" ht="12.75">
      <c r="E34" s="18">
        <f>IF('GENERIERUNG VORTEILE'!G35&gt;0,SUM(E$5:E33)+1,0)</f>
        <v>0</v>
      </c>
      <c r="F34" s="24" t="str">
        <f>'GENERIERUNG VORTEILE'!C35</f>
        <v>Träger des Siegels</v>
      </c>
      <c r="H34" s="18">
        <f>IF('GENERIERUNG MEISTERSCHAFTEN'!G35&gt;0,SUM(H$5:H33)+1,0)</f>
        <v>0</v>
      </c>
      <c r="I34" s="24" t="str">
        <f>'GENERIERUNG MEISTERSCHAFTEN'!C35</f>
        <v>Gerüchte</v>
      </c>
      <c r="K34" s="18" t="s">
        <v>148</v>
      </c>
      <c r="L34" s="24" t="str">
        <f ca="1" t="shared" si="1"/>
        <v>Intuition</v>
      </c>
    </row>
    <row r="35" spans="5:12" ht="12.75">
      <c r="E35" s="18">
        <f>IF('GENERIERUNG VORTEILE'!G36&gt;0,SUM(E$5:E34)+1,0)</f>
        <v>0</v>
      </c>
      <c r="F35" s="24" t="str">
        <f>'GENERIERUNG VORTEILE'!C36</f>
        <v>Treuer Begleiter</v>
      </c>
      <c r="H35" s="18">
        <f>IF('GENERIERUNG MEISTERSCHAFTEN'!G36&gt;0,SUM(H$5:H34)+1,0)</f>
        <v>0</v>
      </c>
      <c r="I35" s="24" t="str">
        <f>'GENERIERUNG MEISTERSCHAFTEN'!C36</f>
        <v>Tier einschätzen</v>
      </c>
      <c r="K35" s="18" t="s">
        <v>438</v>
      </c>
      <c r="L35" s="24" t="str">
        <f ca="1" t="shared" si="1"/>
        <v>Jagd</v>
      </c>
    </row>
    <row r="36" spans="5:12" ht="12.75">
      <c r="E36" s="18">
        <f>IF('GENERIERUNG VORTEILE'!G37&gt;0,SUM(E$5:E35)+1,0)</f>
        <v>0</v>
      </c>
      <c r="F36" s="24" t="str">
        <f>'GENERIERUNG VORTEILE'!C37</f>
        <v>Von den Monden geküsst</v>
      </c>
      <c r="H36" s="18">
        <f>IF('GENERIERUNG MEISTERSCHAFTEN'!G37&gt;0,SUM(H$5:H35)+1,0)</f>
        <v>0</v>
      </c>
      <c r="I36" s="24" t="str">
        <f>'GENERIERUNG MEISTERSCHAFTEN'!C37</f>
        <v>Geländekunde</v>
      </c>
      <c r="K36" s="18" t="s">
        <v>439</v>
      </c>
      <c r="L36" s="24" t="str">
        <f ca="1" t="shared" si="1"/>
        <v>Kettenwaffen</v>
      </c>
    </row>
    <row r="37" spans="5:12" ht="12.75">
      <c r="E37" s="18">
        <f>IF('GENERIERUNG VORTEILE'!G38&gt;0,SUM(E$5:E36)+1,0)</f>
        <v>0</v>
      </c>
      <c r="F37" s="24" t="str">
        <f>'GENERIERUNG VORTEILE'!C38</f>
        <v>Wandelndes Labor</v>
      </c>
      <c r="H37" s="18">
        <f>IF('GENERIERUNG MEISTERSCHAFTEN'!G38&gt;0,SUM(H$5:H36)+1,0)</f>
        <v>0</v>
      </c>
      <c r="I37" s="24" t="str">
        <f>'GENERIERUNG MEISTERSCHAFTEN'!C38</f>
        <v>Wildnisläufer</v>
      </c>
      <c r="K37" s="18" t="s">
        <v>491</v>
      </c>
      <c r="L37" s="24" t="str">
        <f ca="1" t="shared" si="1"/>
        <v>Kettenwaffen Abwehr</v>
      </c>
    </row>
    <row r="38" spans="5:12" ht="12.75">
      <c r="E38" s="18">
        <f>IF('GENERIERUNG VORTEILE'!G39&gt;0,SUM(E$5:E37)+1,0)</f>
        <v>0</v>
      </c>
      <c r="F38" s="24" t="str">
        <f>'GENERIERUNG VORTEILE'!C39</f>
        <v>Wasserelementar</v>
      </c>
      <c r="H38" s="18">
        <f>IF('GENERIERUNG MEISTERSCHAFTEN'!G39&gt;0,SUM(H$5:H37)+1,0)</f>
        <v>0</v>
      </c>
      <c r="I38" s="24" t="str">
        <f>'GENERIERUNG MEISTERSCHAFTEN'!C39</f>
        <v>Unterschwellige Warnung</v>
      </c>
      <c r="K38" s="18" t="s">
        <v>440</v>
      </c>
      <c r="L38" s="24" t="str">
        <f ca="1" t="shared" si="2" ref="L38:L69">INDIRECT(K38)</f>
        <v>Klingenwaffen</v>
      </c>
    </row>
    <row r="39" spans="5:12" ht="12.75">
      <c r="E39" s="18">
        <f>IF('GENERIERUNG VORTEILE'!G40&gt;0,SUM(E$5:E38)+1,0)</f>
        <v>0</v>
      </c>
      <c r="F39" s="24" t="str">
        <f>'GENERIERUNG VORTEILE'!C40</f>
        <v>Zwergenmagen</v>
      </c>
      <c r="H39" s="18">
        <f>IF('GENERIERUNG MEISTERSCHAFTEN'!G40&gt;0,SUM(H$5:H38)+1,0)</f>
        <v>0</v>
      </c>
      <c r="I39" s="24" t="str">
        <f>'GENERIERUNG MEISTERSCHAFTEN'!C40</f>
        <v>Veränderungen wahrnehmen</v>
      </c>
      <c r="K39" s="18" t="s">
        <v>490</v>
      </c>
      <c r="L39" s="24" t="str">
        <f ca="1" t="shared" si="2"/>
        <v>Klingenwaffen Abwehr</v>
      </c>
    </row>
    <row r="40" spans="5:12" ht="12.75">
      <c r="E40" s="18">
        <f>IF('GENERIERUNG VORTEILE'!G41&gt;0,SUM(E$5:E39)+1,0)</f>
        <v>0</v>
      </c>
      <c r="F40" s="24" t="str">
        <f>'GENERIERUNG VORTEILE'!C41</f>
        <v>Zwergische Zähigkeit</v>
      </c>
      <c r="H40" s="18">
        <f>IF('GENERIERUNG MEISTERSCHAFTEN'!G41&gt;0,SUM(H$5:H39)+1,0)</f>
        <v>0</v>
      </c>
      <c r="I40" s="24" t="str">
        <f>'GENERIERUNG MEISTERSCHAFTEN'!C41</f>
        <v>Ausdauernd</v>
      </c>
      <c r="K40" s="18" t="s">
        <v>149</v>
      </c>
      <c r="L40" s="24" t="str">
        <f ca="1" t="shared" si="2"/>
        <v>Konstitution</v>
      </c>
    </row>
    <row r="41" spans="8:12" ht="12.75">
      <c r="H41" s="18">
        <f>IF('GENERIERUNG MEISTERSCHAFTEN'!G42&gt;0,SUM(H$5:H40)+1,0)</f>
        <v>0</v>
      </c>
      <c r="I41" s="24" t="str">
        <f>'GENERIERUNG MEISTERSCHAFTEN'!C42</f>
        <v>Rüstungsträger</v>
      </c>
      <c r="K41" s="18" t="s">
        <v>399</v>
      </c>
      <c r="L41" s="24" t="str">
        <f ca="1" t="shared" si="2"/>
        <v>Körperlicher Widerstand</v>
      </c>
    </row>
    <row r="42" spans="8:12" ht="12.75">
      <c r="H42" s="18">
        <f>IF('GENERIERUNG MEISTERSCHAFTEN'!G43&gt;0,SUM(H$5:H41)+1,0)</f>
        <v>0</v>
      </c>
      <c r="I42" s="24" t="str">
        <f>'GENERIERUNG MEISTERSCHAFTEN'!C43</f>
        <v>Trinkfest</v>
      </c>
      <c r="K42" s="18" t="s">
        <v>441</v>
      </c>
      <c r="L42" s="24" t="str">
        <f ca="1" t="shared" si="2"/>
        <v>Länder und Völker</v>
      </c>
    </row>
    <row r="43" spans="8:12" ht="12.75">
      <c r="H43" s="23"/>
      <c r="I43" s="158"/>
      <c r="K43" s="18" t="s">
        <v>442</v>
      </c>
      <c r="L43" s="24" t="str">
        <f ca="1" t="shared" si="2"/>
        <v>Lebenspunkte</v>
      </c>
    </row>
    <row r="44" spans="8:12" ht="12.75">
      <c r="H44" s="23"/>
      <c r="I44" s="158"/>
      <c r="K44" s="18" t="s">
        <v>443</v>
      </c>
      <c r="L44" s="24" t="str">
        <f ca="1" t="shared" si="2"/>
        <v>Leder und Stoffe</v>
      </c>
    </row>
    <row r="45" spans="8:12" ht="12.75">
      <c r="H45" s="23"/>
      <c r="I45" s="158"/>
      <c r="K45" s="18" t="s">
        <v>444</v>
      </c>
      <c r="L45" s="24" t="str">
        <f ca="1" t="shared" si="2"/>
        <v>Metallarbeiten</v>
      </c>
    </row>
    <row r="46" spans="8:12" ht="12.75">
      <c r="H46" s="23"/>
      <c r="I46" s="158"/>
      <c r="K46" s="18" t="s">
        <v>209</v>
      </c>
      <c r="L46" s="24" t="str">
        <f ca="1" t="shared" si="2"/>
        <v>Magieschule Feuer</v>
      </c>
    </row>
    <row r="47" spans="8:12" ht="12.75">
      <c r="H47" s="23"/>
      <c r="I47" s="158"/>
      <c r="K47" s="18" t="s">
        <v>210</v>
      </c>
      <c r="L47" s="24" t="str">
        <f ca="1" t="shared" si="2"/>
        <v>Magieschule Luft</v>
      </c>
    </row>
    <row r="48" spans="8:12" ht="12.75">
      <c r="H48" s="23"/>
      <c r="I48" s="158"/>
      <c r="K48" s="18" t="s">
        <v>211</v>
      </c>
      <c r="L48" s="24" t="str">
        <f ca="1" t="shared" si="2"/>
        <v>Magieschule Natur</v>
      </c>
    </row>
    <row r="49" spans="8:12" ht="12.75">
      <c r="H49" s="23"/>
      <c r="I49" s="158"/>
      <c r="K49" s="18" t="s">
        <v>212</v>
      </c>
      <c r="L49" s="24" t="str">
        <f ca="1" t="shared" si="2"/>
        <v>Magieschule Schatten</v>
      </c>
    </row>
    <row r="50" spans="8:12" ht="12.75">
      <c r="H50" s="23"/>
      <c r="I50" s="158"/>
      <c r="K50" s="18" t="s">
        <v>208</v>
      </c>
      <c r="L50" s="24" t="str">
        <f ca="1" t="shared" si="2"/>
        <v>Magieschule Stärkung</v>
      </c>
    </row>
    <row r="51" spans="11:12" ht="12.75">
      <c r="K51" s="18" t="s">
        <v>150</v>
      </c>
      <c r="L51" s="24" t="str">
        <f ca="1" t="shared" si="2"/>
        <v>Mystik</v>
      </c>
    </row>
    <row r="52" spans="11:12" ht="12.75">
      <c r="K52" s="18" t="s">
        <v>207</v>
      </c>
      <c r="L52" s="24" t="str">
        <f ca="1" t="shared" si="2"/>
        <v>Magieschule Zerstörung</v>
      </c>
    </row>
    <row r="53" spans="11:12" ht="12.75">
      <c r="K53" s="18" t="s">
        <v>445</v>
      </c>
      <c r="L53" s="24" t="str">
        <f ca="1" t="shared" si="2"/>
        <v>Naturkunde</v>
      </c>
    </row>
    <row r="54" spans="11:12" ht="12.75">
      <c r="K54" s="18" t="s">
        <v>446</v>
      </c>
      <c r="L54" s="24" t="str">
        <f ca="1" t="shared" si="2"/>
        <v>Redekunst</v>
      </c>
    </row>
    <row r="55" spans="11:12" ht="12.75">
      <c r="K55" s="18" t="s">
        <v>496</v>
      </c>
      <c r="L55" s="24" t="str">
        <f ca="1" t="shared" si="2"/>
        <v>Schusswaffen</v>
      </c>
    </row>
    <row r="56" spans="11:12" ht="12.75">
      <c r="K56" s="18" t="s">
        <v>447</v>
      </c>
      <c r="L56" s="24" t="str">
        <f ca="1" t="shared" si="2"/>
        <v>Seefahrt</v>
      </c>
    </row>
    <row r="57" spans="11:12" ht="12.75">
      <c r="K57" s="18" t="s">
        <v>167</v>
      </c>
      <c r="L57" s="24" t="str">
        <f ca="1" t="shared" si="2"/>
        <v>Schleuderwaffen</v>
      </c>
    </row>
    <row r="58" spans="11:12" ht="12.75">
      <c r="K58" s="18" t="s">
        <v>405</v>
      </c>
      <c r="L58" s="24" t="str">
        <f ca="1" t="shared" si="2"/>
        <v>Splitterpunkte</v>
      </c>
    </row>
    <row r="59" spans="11:12" ht="12.75">
      <c r="K59" s="18" t="s">
        <v>448</v>
      </c>
      <c r="L59" s="24" t="str">
        <f ca="1" t="shared" si="2"/>
        <v>Stangenwaffen</v>
      </c>
    </row>
    <row r="60" spans="11:12" ht="12.75">
      <c r="K60" s="18" t="s">
        <v>151</v>
      </c>
      <c r="L60" s="24" t="str">
        <f ca="1" t="shared" si="2"/>
        <v>Stärke</v>
      </c>
    </row>
    <row r="61" spans="11:12" ht="12.75">
      <c r="K61" s="18" t="s">
        <v>492</v>
      </c>
      <c r="L61" s="24" t="str">
        <f ca="1" t="shared" si="2"/>
        <v>Stangenwaffen Abwehr</v>
      </c>
    </row>
    <row r="62" spans="11:12" ht="12.75">
      <c r="K62" s="18" t="s">
        <v>449</v>
      </c>
      <c r="L62" s="24" t="str">
        <f ca="1" t="shared" si="2"/>
        <v>Straßenkunde</v>
      </c>
    </row>
    <row r="63" spans="11:12" ht="12.75">
      <c r="K63" s="18" t="s">
        <v>169</v>
      </c>
      <c r="L63" s="24" t="str">
        <f ca="1" t="shared" si="2"/>
        <v>Schlösser und Fallen</v>
      </c>
    </row>
    <row r="64" spans="11:12" ht="12.75">
      <c r="K64" s="18" t="s">
        <v>168</v>
      </c>
      <c r="L64" s="24" t="str">
        <f ca="1" t="shared" si="2"/>
        <v>Schwimmen</v>
      </c>
    </row>
    <row r="65" spans="11:12" ht="12.75">
      <c r="K65" s="18" t="s">
        <v>450</v>
      </c>
      <c r="L65" s="24" t="str">
        <f ca="1" t="shared" si="2"/>
        <v>Tierführung</v>
      </c>
    </row>
    <row r="66" spans="11:12" ht="12.75">
      <c r="K66" s="18" t="s">
        <v>451</v>
      </c>
      <c r="L66" s="24" t="str">
        <f ca="1" t="shared" si="2"/>
        <v>Überleben</v>
      </c>
    </row>
    <row r="67" spans="11:12" ht="12.75">
      <c r="K67" s="18" t="s">
        <v>152</v>
      </c>
      <c r="L67" s="24" t="str">
        <f ca="1" t="shared" si="2"/>
        <v>Verstand</v>
      </c>
    </row>
    <row r="68" spans="11:12" ht="12.75">
      <c r="K68" s="18" t="s">
        <v>171</v>
      </c>
      <c r="L68" s="24" t="str">
        <f ca="1" t="shared" si="2"/>
        <v>Verhandeln</v>
      </c>
    </row>
    <row r="69" spans="11:12" ht="12.75">
      <c r="K69" s="18" t="s">
        <v>398</v>
      </c>
      <c r="L69" s="24" t="str">
        <f ca="1" t="shared" si="2"/>
        <v>Verteidigung</v>
      </c>
    </row>
    <row r="70" spans="11:12" ht="12.75">
      <c r="K70" s="18" t="s">
        <v>452</v>
      </c>
      <c r="L70" s="24" t="str">
        <f ca="1" t="shared" si="3" ref="L70:L75">INDIRECT(K70)</f>
        <v>Wahrnehmung</v>
      </c>
    </row>
    <row r="71" spans="11:12" ht="12.75">
      <c r="K71" s="18" t="s">
        <v>153</v>
      </c>
      <c r="L71" s="24" t="str">
        <f ca="1" t="shared" si="3"/>
        <v>Willenskraft</v>
      </c>
    </row>
    <row r="72" spans="11:12" ht="12.75">
      <c r="K72" s="18" t="s">
        <v>453</v>
      </c>
      <c r="L72" s="24" t="str">
        <f ca="1" t="shared" si="3"/>
        <v>Wissenschaft</v>
      </c>
    </row>
    <row r="73" spans="11:12" ht="12.75">
      <c r="K73" s="18" t="s">
        <v>454</v>
      </c>
      <c r="L73" s="24" t="str">
        <f ca="1" t="shared" si="3"/>
        <v>Wurfwaffen</v>
      </c>
    </row>
    <row r="74" spans="11:12" ht="12.75">
      <c r="K74" s="18" t="s">
        <v>455</v>
      </c>
      <c r="L74" s="24" t="str">
        <f ca="1" t="shared" si="3"/>
        <v>Zähigkeit</v>
      </c>
    </row>
    <row r="75" spans="11:12" ht="12.75">
      <c r="K75" s="18" t="s">
        <v>486</v>
      </c>
      <c r="L75" s="24" t="str">
        <f ca="1" t="shared" si="3"/>
        <v>Zähigkeit Abwehr</v>
      </c>
    </row>
  </sheetData>
  <sheetProtection sheet="1"/>
  <printOptions/>
  <pageMargins left="0.3937007874015748" right="0.3937007874015748" top="0.5905511811023623" bottom="0.5905511811023623" header="0.3937007874015748" footer="0.3937007874015748"/>
  <pageSetup fitToHeight="1" fitToWidth="1" horizontalDpi="300" verticalDpi="300" orientation="portrait" paperSize="9" scale="49" r:id="rId1"/>
  <headerFooter alignWithMargins="0">
    <oddHeader>&amp;R&amp;"Verdana,Standard"&amp;8Splittermond - Charakter-Generator (Beta) - v.1.1</oddHeader>
    <oddFooter>&amp;L&amp;"Verdana,Standard"&amp;8Marcus Renner - 18.06.2013</oddFooter>
  </headerFooter>
  <ignoredErrors>
    <ignoredError sqref="C6:C15" unlockedFormula="1"/>
  </ignoredErrors>
</worksheet>
</file>

<file path=xl/worksheets/sheet9.xml><?xml version="1.0" encoding="utf-8"?>
<worksheet xmlns="http://schemas.openxmlformats.org/spreadsheetml/2006/main" xmlns:r="http://schemas.openxmlformats.org/officeDocument/2006/relationships">
  <sheetPr>
    <tabColor indexed="63"/>
    <pageSetUpPr fitToPage="1"/>
  </sheetPr>
  <dimension ref="A1:N74"/>
  <sheetViews>
    <sheetView showGridLines="0" zoomScale="85" zoomScaleNormal="85" zoomScalePageLayoutView="0" workbookViewId="0" topLeftCell="A1">
      <pane xSplit="1" ySplit="3" topLeftCell="B4" activePane="bottomRight" state="frozen"/>
      <selection pane="topLeft" activeCell="A4" sqref="A4"/>
      <selection pane="topRight" activeCell="A4" sqref="A4"/>
      <selection pane="bottomLeft" activeCell="A4" sqref="A4"/>
      <selection pane="bottomRight" activeCell="B4" sqref="B4"/>
    </sheetView>
  </sheetViews>
  <sheetFormatPr defaultColWidth="11.421875" defaultRowHeight="12.75"/>
  <cols>
    <col min="1" max="1" width="27.57421875" style="7" customWidth="1"/>
    <col min="2" max="2" width="61.00390625" style="7" bestFit="1" customWidth="1"/>
    <col min="3" max="3" width="5.140625" style="7" bestFit="1" customWidth="1"/>
    <col min="4" max="4" width="18.7109375" style="7" customWidth="1"/>
    <col min="5" max="5" width="18.7109375" style="7" bestFit="1" customWidth="1"/>
    <col min="6" max="6" width="6.8515625" style="7" bestFit="1" customWidth="1"/>
    <col min="7" max="9" width="6.8515625" style="7" customWidth="1"/>
    <col min="10" max="10" width="6.8515625" style="7" bestFit="1" customWidth="1"/>
    <col min="11" max="11" width="6.8515625" style="7" customWidth="1"/>
    <col min="12" max="12" width="10.57421875" style="7" bestFit="1" customWidth="1"/>
    <col min="13" max="13" width="10.8515625" style="7" bestFit="1" customWidth="1"/>
    <col min="14" max="14" width="12.7109375" style="7" bestFit="1" customWidth="1"/>
    <col min="15" max="15" width="4.28125" style="7" customWidth="1"/>
    <col min="16" max="16384" width="11.421875" style="7" customWidth="1"/>
  </cols>
  <sheetData>
    <row r="1" spans="1:14" s="8" customFormat="1" ht="19.5">
      <c r="A1" s="137" t="s">
        <v>420</v>
      </c>
      <c r="B1" s="137"/>
      <c r="C1" s="137"/>
      <c r="D1" s="137"/>
      <c r="E1" s="137"/>
      <c r="F1" s="137"/>
      <c r="G1" s="137"/>
      <c r="H1" s="137"/>
      <c r="I1" s="137"/>
      <c r="J1" s="137"/>
      <c r="K1" s="137"/>
      <c r="L1" s="137"/>
      <c r="M1" s="137"/>
      <c r="N1" s="117"/>
    </row>
    <row r="3" spans="1:14" ht="25.5">
      <c r="A3" s="9" t="s">
        <v>421</v>
      </c>
      <c r="B3" s="9" t="s">
        <v>238</v>
      </c>
      <c r="C3" s="9" t="s">
        <v>213</v>
      </c>
      <c r="D3" s="9" t="s">
        <v>406</v>
      </c>
      <c r="E3" s="9" t="s">
        <v>162</v>
      </c>
      <c r="F3" s="9" t="s">
        <v>163</v>
      </c>
      <c r="G3" s="9" t="s">
        <v>458</v>
      </c>
      <c r="H3" s="9" t="s">
        <v>336</v>
      </c>
      <c r="I3" s="9" t="s">
        <v>164</v>
      </c>
      <c r="J3" s="9" t="s">
        <v>458</v>
      </c>
      <c r="K3" s="9" t="s">
        <v>336</v>
      </c>
      <c r="L3" s="9" t="s">
        <v>459</v>
      </c>
      <c r="M3" s="9" t="s">
        <v>464</v>
      </c>
      <c r="N3" s="9" t="str">
        <f>CONCATENATE(SITUATIONSBONUSSYMBOL,"-Bonus")</f>
        <v>`-Bonus</v>
      </c>
    </row>
    <row r="4" spans="1:14" ht="38.25">
      <c r="A4" s="10" t="s">
        <v>96</v>
      </c>
      <c r="B4" s="10" t="s">
        <v>255</v>
      </c>
      <c r="C4" s="11">
        <v>1</v>
      </c>
      <c r="D4" s="10" t="s">
        <v>142</v>
      </c>
      <c r="E4" s="10" t="s">
        <v>156</v>
      </c>
      <c r="F4" s="11" t="s">
        <v>146</v>
      </c>
      <c r="G4" s="11">
        <v>1</v>
      </c>
      <c r="H4" s="11">
        <f ca="1">IF(F4="","",G4*INDIRECT(INDIRECT(F4)))</f>
        <v>1</v>
      </c>
      <c r="I4" s="11" t="s">
        <v>148</v>
      </c>
      <c r="J4" s="11">
        <v>1</v>
      </c>
      <c r="K4" s="11">
        <f aca="true" ca="1" t="shared" si="0" ref="K4:K72">IF(I4="","",J4*INDIRECT(INDIRECT(I4)))</f>
        <v>1</v>
      </c>
      <c r="L4" s="11">
        <f>IF(H4="",0,H4)+IF(K4="",0,K4)</f>
        <v>2</v>
      </c>
      <c r="M4" s="11">
        <f>SUMIF('Vorteile-Eigenschaften'!$B$4:$B$43,$A4,'Vorteile-Eigenschaften'!$D$4:$D$43)+SUMIF('Meisterschaften-Eigenschaften'!$B$4:$B$46,$A4,'Meisterschaften-Eigenschaften'!$D$4:$D$46)</f>
        <v>0</v>
      </c>
      <c r="N4" s="11">
        <f>SUMIF('Vorteile-Eigenschaften'!$B$4:$B$43,$A4,'Vorteile-Eigenschaften'!$F$4:$F$43)+SUMIF('Meisterschaften-Eigenschaften'!$B$4:$B$46,$A4,'Meisterschaften-Eigenschaften'!$F$4:$F$46)</f>
        <v>0</v>
      </c>
    </row>
    <row r="5" spans="1:14" ht="12.75">
      <c r="A5" s="10" t="s">
        <v>484</v>
      </c>
      <c r="B5" s="10"/>
      <c r="C5" s="11">
        <v>1</v>
      </c>
      <c r="D5" s="10" t="s">
        <v>142</v>
      </c>
      <c r="E5" s="10" t="s">
        <v>478</v>
      </c>
      <c r="F5" s="11" t="s">
        <v>423</v>
      </c>
      <c r="G5" s="11">
        <v>1</v>
      </c>
      <c r="H5" s="11">
        <f ca="1">IF(F5="","",G5*INDIRECT(INDIRECT(F5)))</f>
        <v>2</v>
      </c>
      <c r="I5" s="11" t="s">
        <v>403</v>
      </c>
      <c r="J5" s="11">
        <v>1</v>
      </c>
      <c r="K5" s="138">
        <f>VLOOKUP(RASSE,RASSETABLEAU,4)</f>
        <v>0</v>
      </c>
      <c r="L5" s="11">
        <f>IF(H5="",0,H5)+IF(K5="",0,K5)</f>
        <v>2</v>
      </c>
      <c r="M5" s="11">
        <f>SUMIF('Vorteile-Eigenschaften'!$B$4:$B$43,$A5,'Vorteile-Eigenschaften'!$D$4:$D$43)+SUMIF('Meisterschaften-Eigenschaften'!$B$4:$B$46,$A5,'Meisterschaften-Eigenschaften'!$D$4:$D$46)</f>
        <v>0</v>
      </c>
      <c r="N5" s="11">
        <f>SUMIF('Vorteile-Eigenschaften'!$B$4:$B$43,$A5,'Vorteile-Eigenschaften'!$F$4:$F$43)+SUMIF('Meisterschaften-Eigenschaften'!$B$4:$B$46,$A5,'Meisterschaften-Eigenschaften'!$F$4:$F$46)</f>
        <v>0</v>
      </c>
    </row>
    <row r="6" spans="1:14" ht="25.5">
      <c r="A6" s="10" t="s">
        <v>109</v>
      </c>
      <c r="B6" s="10" t="s">
        <v>256</v>
      </c>
      <c r="C6" s="11">
        <v>1</v>
      </c>
      <c r="D6" s="10" t="s">
        <v>142</v>
      </c>
      <c r="E6" s="10" t="s">
        <v>159</v>
      </c>
      <c r="F6" s="11" t="s">
        <v>147</v>
      </c>
      <c r="G6" s="11">
        <v>1</v>
      </c>
      <c r="H6" s="11">
        <f aca="true" ca="1" t="shared" si="1" ref="H6:H72">IF(F6="","",G6*INDIRECT(INDIRECT(F6)))</f>
        <v>1</v>
      </c>
      <c r="I6" s="11" t="s">
        <v>152</v>
      </c>
      <c r="J6" s="11">
        <v>1</v>
      </c>
      <c r="K6" s="11">
        <f ca="1" t="shared" si="0"/>
        <v>1</v>
      </c>
      <c r="L6" s="11">
        <f aca="true" t="shared" si="2" ref="L6:L69">IF(H6="",0,H6)+IF(K6="",0,K6)</f>
        <v>2</v>
      </c>
      <c r="M6" s="11">
        <f>SUMIF('Vorteile-Eigenschaften'!$B$4:$B$43,$A6,'Vorteile-Eigenschaften'!$D$4:$D$43)+SUMIF('Meisterschaften-Eigenschaften'!$B$4:$B$46,$A6,'Meisterschaften-Eigenschaften'!$D$4:$D$46)</f>
        <v>0</v>
      </c>
      <c r="N6" s="11">
        <f>SUMIF('Vorteile-Eigenschaften'!$B$4:$B$43,$A6,'Vorteile-Eigenschaften'!$F$4:$F$43)+SUMIF('Meisterschaften-Eigenschaften'!$B$4:$B$46,$A6,'Meisterschaften-Eigenschaften'!$F$4:$F$46)</f>
        <v>0</v>
      </c>
    </row>
    <row r="7" spans="1:14" ht="25.5">
      <c r="A7" s="10" t="s">
        <v>115</v>
      </c>
      <c r="B7" s="10" t="s">
        <v>257</v>
      </c>
      <c r="C7" s="11">
        <v>1</v>
      </c>
      <c r="D7" s="10" t="s">
        <v>142</v>
      </c>
      <c r="E7" s="10" t="s">
        <v>160</v>
      </c>
      <c r="F7" s="11" t="s">
        <v>145</v>
      </c>
      <c r="G7" s="11">
        <v>1</v>
      </c>
      <c r="H7" s="11">
        <f ca="1" t="shared" si="1"/>
        <v>1</v>
      </c>
      <c r="I7" s="11" t="s">
        <v>152</v>
      </c>
      <c r="J7" s="11">
        <v>1</v>
      </c>
      <c r="K7" s="11">
        <f ca="1" t="shared" si="0"/>
        <v>1</v>
      </c>
      <c r="L7" s="11">
        <f t="shared" si="2"/>
        <v>2</v>
      </c>
      <c r="M7" s="11">
        <f>SUMIF('Vorteile-Eigenschaften'!$B$4:$B$43,$A7,'Vorteile-Eigenschaften'!$D$4:$D$43)+SUMIF('Meisterschaften-Eigenschaften'!$B$4:$B$46,$A7,'Meisterschaften-Eigenschaften'!$D$4:$D$46)</f>
        <v>0</v>
      </c>
      <c r="N7" s="11">
        <f>SUMIF('Vorteile-Eigenschaften'!$B$4:$B$43,$A7,'Vorteile-Eigenschaften'!$F$4:$F$43)+SUMIF('Meisterschaften-Eigenschaften'!$B$4:$B$46,$A7,'Meisterschaften-Eigenschaften'!$F$4:$F$46)</f>
        <v>0</v>
      </c>
    </row>
    <row r="8" spans="1:14" ht="25.5">
      <c r="A8" s="10" t="s">
        <v>100</v>
      </c>
      <c r="B8" s="10" t="s">
        <v>258</v>
      </c>
      <c r="C8" s="11">
        <v>1</v>
      </c>
      <c r="D8" s="10" t="s">
        <v>142</v>
      </c>
      <c r="E8" s="10" t="s">
        <v>157</v>
      </c>
      <c r="F8" s="11" t="s">
        <v>152</v>
      </c>
      <c r="G8" s="11">
        <v>1</v>
      </c>
      <c r="H8" s="11">
        <f ca="1" t="shared" si="1"/>
        <v>1</v>
      </c>
      <c r="I8" s="11" t="s">
        <v>150</v>
      </c>
      <c r="J8" s="11">
        <v>1</v>
      </c>
      <c r="K8" s="11">
        <f ca="1" t="shared" si="0"/>
        <v>1</v>
      </c>
      <c r="L8" s="11">
        <f t="shared" si="2"/>
        <v>2</v>
      </c>
      <c r="M8" s="11">
        <f>SUMIF('Vorteile-Eigenschaften'!$B$4:$B$43,$A8,'Vorteile-Eigenschaften'!$D$4:$D$43)+SUMIF('Meisterschaften-Eigenschaften'!$B$4:$B$46,$A8,'Meisterschaften-Eigenschaften'!$D$4:$D$46)</f>
        <v>0</v>
      </c>
      <c r="N8" s="11">
        <f>SUMIF('Vorteile-Eigenschaften'!$B$4:$B$43,$A8,'Vorteile-Eigenschaften'!$F$4:$F$43)+SUMIF('Meisterschaften-Eigenschaften'!$B$4:$B$46,$A8,'Meisterschaften-Eigenschaften'!$F$4:$F$46)</f>
        <v>0</v>
      </c>
    </row>
    <row r="9" spans="1:14" ht="25.5">
      <c r="A9" s="10" t="s">
        <v>97</v>
      </c>
      <c r="B9" s="10" t="s">
        <v>259</v>
      </c>
      <c r="C9" s="11">
        <v>1</v>
      </c>
      <c r="D9" s="10" t="s">
        <v>142</v>
      </c>
      <c r="E9" s="10" t="s">
        <v>156</v>
      </c>
      <c r="F9" s="11" t="s">
        <v>146</v>
      </c>
      <c r="G9" s="11">
        <v>1</v>
      </c>
      <c r="H9" s="11">
        <f ca="1" t="shared" si="1"/>
        <v>1</v>
      </c>
      <c r="I9" s="11" t="s">
        <v>151</v>
      </c>
      <c r="J9" s="11">
        <v>1</v>
      </c>
      <c r="K9" s="11">
        <f ca="1" t="shared" si="0"/>
        <v>1</v>
      </c>
      <c r="L9" s="11">
        <f t="shared" si="2"/>
        <v>2</v>
      </c>
      <c r="M9" s="11">
        <f>SUMIF('Vorteile-Eigenschaften'!$B$4:$B$43,$A9,'Vorteile-Eigenschaften'!$D$4:$D$43)+SUMIF('Meisterschaften-Eigenschaften'!$B$4:$B$46,$A9,'Meisterschaften-Eigenschaften'!$D$4:$D$46)</f>
        <v>0</v>
      </c>
      <c r="N9" s="11">
        <f>SUMIF('Vorteile-Eigenschaften'!$B$4:$B$43,$A9,'Vorteile-Eigenschaften'!$F$4:$F$43)+SUMIF('Meisterschaften-Eigenschaften'!$B$4:$B$46,$A9,'Meisterschaften-Eigenschaften'!$F$4:$F$46)</f>
        <v>0</v>
      </c>
    </row>
    <row r="10" spans="1:14" ht="12.75">
      <c r="A10" s="10" t="s">
        <v>126</v>
      </c>
      <c r="B10" s="10" t="s">
        <v>410</v>
      </c>
      <c r="C10" s="11">
        <v>1</v>
      </c>
      <c r="D10" s="10" t="s">
        <v>143</v>
      </c>
      <c r="E10" s="10" t="s">
        <v>408</v>
      </c>
      <c r="F10" s="11"/>
      <c r="G10" s="11">
        <v>1</v>
      </c>
      <c r="H10" s="11">
        <f ca="1" t="shared" si="1"/>
      </c>
      <c r="I10" s="11"/>
      <c r="J10" s="11">
        <v>1</v>
      </c>
      <c r="K10" s="11">
        <f ca="1" t="shared" si="0"/>
      </c>
      <c r="L10" s="11">
        <f t="shared" si="2"/>
        <v>0</v>
      </c>
      <c r="M10" s="11">
        <f>SUMIF('Vorteile-Eigenschaften'!$B$4:$B$43,$A10,'Vorteile-Eigenschaften'!$D$4:$D$43)+SUMIF('Meisterschaften-Eigenschaften'!$B$4:$B$46,$A10,'Meisterschaften-Eigenschaften'!$D$4:$D$46)</f>
        <v>0</v>
      </c>
      <c r="N10" s="11">
        <f>SUMIF('Vorteile-Eigenschaften'!$B$4:$B$43,$A10,'Vorteile-Eigenschaften'!$F$4:$F$43)+SUMIF('Meisterschaften-Eigenschaften'!$B$4:$B$46,$A10,'Meisterschaften-Eigenschaften'!$F$4:$F$46)</f>
        <v>0</v>
      </c>
    </row>
    <row r="11" spans="1:14" ht="12.75">
      <c r="A11" s="10" t="s">
        <v>127</v>
      </c>
      <c r="B11" s="10" t="s">
        <v>411</v>
      </c>
      <c r="C11" s="11">
        <v>1</v>
      </c>
      <c r="D11" s="10" t="s">
        <v>143</v>
      </c>
      <c r="E11" s="10" t="s">
        <v>409</v>
      </c>
      <c r="F11" s="11"/>
      <c r="G11" s="11">
        <v>1</v>
      </c>
      <c r="H11" s="11">
        <f ca="1" t="shared" si="1"/>
      </c>
      <c r="I11" s="11"/>
      <c r="J11" s="11">
        <v>1</v>
      </c>
      <c r="K11" s="11">
        <f ca="1" t="shared" si="0"/>
      </c>
      <c r="L11" s="11">
        <f t="shared" si="2"/>
        <v>0</v>
      </c>
      <c r="M11" s="11">
        <f>SUMIF('Vorteile-Eigenschaften'!$B$4:$B$43,$A11,'Vorteile-Eigenschaften'!$D$4:$D$43)+SUMIF('Meisterschaften-Eigenschaften'!$B$4:$B$46,$A11,'Meisterschaften-Eigenschaften'!$D$4:$D$46)</f>
        <v>0</v>
      </c>
      <c r="N11" s="11">
        <f>SUMIF('Vorteile-Eigenschaften'!$B$4:$B$43,$A11,'Vorteile-Eigenschaften'!$F$4:$F$43)+SUMIF('Meisterschaften-Eigenschaften'!$B$4:$B$46,$A11,'Meisterschaften-Eigenschaften'!$F$4:$F$46)</f>
        <v>0</v>
      </c>
    </row>
    <row r="12" spans="1:14" ht="12.75">
      <c r="A12" s="10" t="s">
        <v>116</v>
      </c>
      <c r="B12" s="10"/>
      <c r="C12" s="11">
        <v>0</v>
      </c>
      <c r="D12" s="10" t="s">
        <v>142</v>
      </c>
      <c r="E12" s="10" t="s">
        <v>160</v>
      </c>
      <c r="F12" s="11"/>
      <c r="G12" s="11">
        <v>1</v>
      </c>
      <c r="H12" s="11">
        <f ca="1" t="shared" si="1"/>
      </c>
      <c r="I12" s="11"/>
      <c r="J12" s="11">
        <v>1</v>
      </c>
      <c r="K12" s="11">
        <f ca="1" t="shared" si="0"/>
      </c>
      <c r="L12" s="11">
        <f t="shared" si="2"/>
        <v>0</v>
      </c>
      <c r="M12" s="11">
        <f>SUMIF('Vorteile-Eigenschaften'!$B$4:$B$43,$A12,'Vorteile-Eigenschaften'!$D$4:$D$43)+SUMIF('Meisterschaften-Eigenschaften'!$B$4:$B$46,$A12,'Meisterschaften-Eigenschaften'!$D$4:$D$46)</f>
        <v>0</v>
      </c>
      <c r="N12" s="11">
        <f>SUMIF('Vorteile-Eigenschaften'!$B$4:$B$43,$A12,'Vorteile-Eigenschaften'!$F$4:$F$43)+SUMIF('Meisterschaften-Eigenschaften'!$B$4:$B$46,$A12,'Meisterschaften-Eigenschaften'!$F$4:$F$46)</f>
        <v>0</v>
      </c>
    </row>
    <row r="13" spans="1:14" ht="12.75">
      <c r="A13" s="10" t="s">
        <v>110</v>
      </c>
      <c r="B13" s="10"/>
      <c r="C13" s="11">
        <v>0</v>
      </c>
      <c r="D13" s="10" t="s">
        <v>142</v>
      </c>
      <c r="E13" s="10" t="s">
        <v>159</v>
      </c>
      <c r="F13" s="11"/>
      <c r="G13" s="11">
        <v>1</v>
      </c>
      <c r="H13" s="11">
        <f ca="1" t="shared" si="1"/>
      </c>
      <c r="I13" s="11"/>
      <c r="J13" s="11">
        <v>1</v>
      </c>
      <c r="K13" s="11">
        <f ca="1" t="shared" si="0"/>
      </c>
      <c r="L13" s="11">
        <f t="shared" si="2"/>
        <v>0</v>
      </c>
      <c r="M13" s="11">
        <f>SUMIF('Vorteile-Eigenschaften'!$B$4:$B$43,$A13,'Vorteile-Eigenschaften'!$D$4:$D$43)+SUMIF('Meisterschaften-Eigenschaften'!$B$4:$B$46,$A13,'Meisterschaften-Eigenschaften'!$D$4:$D$46)</f>
        <v>0</v>
      </c>
      <c r="N13" s="11">
        <f>SUMIF('Vorteile-Eigenschaften'!$B$4:$B$43,$A13,'Vorteile-Eigenschaften'!$F$4:$F$43)+SUMIF('Meisterschaften-Eigenschaften'!$B$4:$B$46,$A13,'Meisterschaften-Eigenschaften'!$F$4:$F$46)</f>
        <v>0</v>
      </c>
    </row>
    <row r="14" spans="1:14" ht="25.5">
      <c r="A14" s="10" t="s">
        <v>117</v>
      </c>
      <c r="B14" s="10" t="s">
        <v>260</v>
      </c>
      <c r="C14" s="11">
        <v>1</v>
      </c>
      <c r="D14" s="10" t="s">
        <v>142</v>
      </c>
      <c r="E14" s="10" t="s">
        <v>160</v>
      </c>
      <c r="F14" s="11" t="s">
        <v>152</v>
      </c>
      <c r="G14" s="11">
        <v>1</v>
      </c>
      <c r="H14" s="11">
        <f ca="1" t="shared" si="1"/>
        <v>1</v>
      </c>
      <c r="I14" s="11" t="s">
        <v>148</v>
      </c>
      <c r="J14" s="11">
        <v>1</v>
      </c>
      <c r="K14" s="11">
        <f ca="1" t="shared" si="0"/>
        <v>1</v>
      </c>
      <c r="L14" s="11">
        <f t="shared" si="2"/>
        <v>2</v>
      </c>
      <c r="M14" s="11">
        <f>SUMIF('Vorteile-Eigenschaften'!$B$4:$B$43,$A14,'Vorteile-Eigenschaften'!$D$4:$D$43)+SUMIF('Meisterschaften-Eigenschaften'!$B$4:$B$46,$A14,'Meisterschaften-Eigenschaften'!$D$4:$D$46)</f>
        <v>0</v>
      </c>
      <c r="N14" s="11">
        <f>SUMIF('Vorteile-Eigenschaften'!$B$4:$B$43,$A14,'Vorteile-Eigenschaften'!$F$4:$F$43)+SUMIF('Meisterschaften-Eigenschaften'!$B$4:$B$46,$A14,'Meisterschaften-Eigenschaften'!$F$4:$F$46)</f>
        <v>0</v>
      </c>
    </row>
    <row r="15" spans="1:14" ht="25.5">
      <c r="A15" s="10" t="s">
        <v>118</v>
      </c>
      <c r="B15" s="10" t="s">
        <v>261</v>
      </c>
      <c r="C15" s="11">
        <v>1</v>
      </c>
      <c r="D15" s="10" t="s">
        <v>142</v>
      </c>
      <c r="E15" s="10" t="s">
        <v>160</v>
      </c>
      <c r="F15" s="11" t="s">
        <v>145</v>
      </c>
      <c r="G15" s="11">
        <v>1</v>
      </c>
      <c r="H15" s="11">
        <f ca="1" t="shared" si="1"/>
        <v>1</v>
      </c>
      <c r="I15" s="11" t="s">
        <v>153</v>
      </c>
      <c r="J15" s="11">
        <v>1</v>
      </c>
      <c r="K15" s="11">
        <f ca="1" t="shared" si="0"/>
        <v>1</v>
      </c>
      <c r="L15" s="11">
        <f t="shared" si="2"/>
        <v>2</v>
      </c>
      <c r="M15" s="11">
        <f>SUMIF('Vorteile-Eigenschaften'!$B$4:$B$43,$A15,'Vorteile-Eigenschaften'!$D$4:$D$43)+SUMIF('Meisterschaften-Eigenschaften'!$B$4:$B$46,$A15,'Meisterschaften-Eigenschaften'!$D$4:$D$46)</f>
        <v>0</v>
      </c>
      <c r="N15" s="11">
        <f>SUMIF('Vorteile-Eigenschaften'!$B$4:$B$43,$A15,'Vorteile-Eigenschaften'!$F$4:$F$43)+SUMIF('Meisterschaften-Eigenschaften'!$B$4:$B$46,$A15,'Meisterschaften-Eigenschaften'!$F$4:$F$46)</f>
        <v>0</v>
      </c>
    </row>
    <row r="16" spans="1:14" ht="12.75">
      <c r="A16" s="10" t="s">
        <v>479</v>
      </c>
      <c r="B16" s="10"/>
      <c r="C16" s="11">
        <v>1</v>
      </c>
      <c r="D16" s="10" t="s">
        <v>142</v>
      </c>
      <c r="E16" s="10" t="s">
        <v>478</v>
      </c>
      <c r="F16" s="11" t="s">
        <v>431</v>
      </c>
      <c r="G16" s="11">
        <v>1</v>
      </c>
      <c r="H16" s="11">
        <f ca="1">IF(F16="","",G16*INDIRECT(INDIRECT(F16)))</f>
        <v>2</v>
      </c>
      <c r="I16" s="11"/>
      <c r="J16" s="11"/>
      <c r="K16" s="11"/>
      <c r="L16" s="11">
        <f t="shared" si="2"/>
        <v>2</v>
      </c>
      <c r="M16" s="11">
        <f>SUMIF('Vorteile-Eigenschaften'!$B$4:$B$43,$A16,'Vorteile-Eigenschaften'!$D$4:$D$43)+SUMIF('Meisterschaften-Eigenschaften'!$B$4:$B$46,$A16,'Meisterschaften-Eigenschaften'!$D$4:$D$46)</f>
        <v>0</v>
      </c>
      <c r="N16" s="11">
        <f>SUMIF('Vorteile-Eigenschaften'!$B$4:$B$43,$A16,'Vorteile-Eigenschaften'!$F$4:$F$43)+SUMIF('Meisterschaften-Eigenschaften'!$B$4:$B$46,$A16,'Meisterschaften-Eigenschaften'!$F$4:$F$46)</f>
        <v>0</v>
      </c>
    </row>
    <row r="17" spans="1:14" ht="25.5">
      <c r="A17" s="10" t="s">
        <v>105</v>
      </c>
      <c r="B17" s="10" t="s">
        <v>262</v>
      </c>
      <c r="C17" s="11">
        <v>1</v>
      </c>
      <c r="D17" s="10" t="s">
        <v>142</v>
      </c>
      <c r="E17" s="10" t="s">
        <v>158</v>
      </c>
      <c r="F17" s="11" t="s">
        <v>146</v>
      </c>
      <c r="G17" s="11">
        <v>1</v>
      </c>
      <c r="H17" s="11">
        <f ca="1" t="shared" si="1"/>
        <v>1</v>
      </c>
      <c r="I17" s="11" t="s">
        <v>147</v>
      </c>
      <c r="J17" s="11">
        <v>1</v>
      </c>
      <c r="K17" s="11">
        <f ca="1" t="shared" si="0"/>
        <v>1</v>
      </c>
      <c r="L17" s="11">
        <f t="shared" si="2"/>
        <v>2</v>
      </c>
      <c r="M17" s="11">
        <f>SUMIF('Vorteile-Eigenschaften'!$B$4:$B$43,$A17,'Vorteile-Eigenschaften'!$D$4:$D$43)+SUMIF('Meisterschaften-Eigenschaften'!$B$4:$B$46,$A17,'Meisterschaften-Eigenschaften'!$D$4:$D$46)</f>
        <v>0</v>
      </c>
      <c r="N17" s="11">
        <f>SUMIF('Vorteile-Eigenschaften'!$B$4:$B$43,$A17,'Vorteile-Eigenschaften'!$F$4:$F$43)+SUMIF('Meisterschaften-Eigenschaften'!$B$4:$B$46,$A17,'Meisterschaften-Eigenschaften'!$F$4:$F$46)</f>
        <v>0</v>
      </c>
    </row>
    <row r="18" spans="1:14" ht="12.75">
      <c r="A18" s="10" t="s">
        <v>179</v>
      </c>
      <c r="B18" s="10"/>
      <c r="C18" s="11">
        <v>1</v>
      </c>
      <c r="D18" s="10" t="s">
        <v>401</v>
      </c>
      <c r="E18" s="10" t="s">
        <v>407</v>
      </c>
      <c r="F18" s="11" t="s">
        <v>150</v>
      </c>
      <c r="G18" s="11">
        <v>2</v>
      </c>
      <c r="H18" s="11">
        <f ca="1" t="shared" si="1"/>
        <v>2</v>
      </c>
      <c r="I18" s="11" t="s">
        <v>153</v>
      </c>
      <c r="J18" s="11">
        <v>2</v>
      </c>
      <c r="K18" s="11">
        <f ca="1" t="shared" si="0"/>
        <v>2</v>
      </c>
      <c r="L18" s="11">
        <f t="shared" si="2"/>
        <v>4</v>
      </c>
      <c r="M18" s="11">
        <f>SUMIF('Vorteile-Eigenschaften'!$B$4:$B$43,$A18,'Vorteile-Eigenschaften'!$D$4:$D$43)+SUMIF('Meisterschaften-Eigenschaften'!$B$4:$B$46,$A18,'Meisterschaften-Eigenschaften'!$D$4:$D$46)</f>
        <v>0</v>
      </c>
      <c r="N18" s="11">
        <f>SUMIF('Vorteile-Eigenschaften'!$B$4:$B$43,$A18,'Vorteile-Eigenschaften'!$F$4:$F$43)+SUMIF('Meisterschaften-Eigenschaften'!$B$4:$B$46,$A18,'Meisterschaften-Eigenschaften'!$F$4:$F$46)</f>
        <v>0</v>
      </c>
    </row>
    <row r="19" spans="1:14" ht="12.75">
      <c r="A19" s="10" t="s">
        <v>138</v>
      </c>
      <c r="B19" s="10"/>
      <c r="C19" s="11">
        <v>1</v>
      </c>
      <c r="D19" s="10" t="s">
        <v>401</v>
      </c>
      <c r="E19" s="10" t="s">
        <v>397</v>
      </c>
      <c r="F19" s="11" t="s">
        <v>153</v>
      </c>
      <c r="G19" s="11">
        <v>2</v>
      </c>
      <c r="H19" s="11">
        <f ca="1" t="shared" si="1"/>
        <v>2</v>
      </c>
      <c r="I19" s="11"/>
      <c r="J19" s="11">
        <v>1</v>
      </c>
      <c r="K19" s="11">
        <f ca="1" t="shared" si="0"/>
      </c>
      <c r="L19" s="11">
        <f t="shared" si="2"/>
        <v>2</v>
      </c>
      <c r="M19" s="11">
        <f>SUMIF('Vorteile-Eigenschaften'!$B$4:$B$43,$A19,'Vorteile-Eigenschaften'!$D$4:$D$43)+SUMIF('Meisterschaften-Eigenschaften'!$B$4:$B$46,$A19,'Meisterschaften-Eigenschaften'!$D$4:$D$46)</f>
        <v>0</v>
      </c>
      <c r="N19" s="11">
        <f>SUMIF('Vorteile-Eigenschaften'!$B$4:$B$43,$A19,'Vorteile-Eigenschaften'!$F$4:$F$43)+SUMIF('Meisterschaften-Eigenschaften'!$B$4:$B$46,$A19,'Meisterschaften-Eigenschaften'!$F$4:$F$46)</f>
        <v>0</v>
      </c>
    </row>
    <row r="20" spans="1:14" ht="25.5">
      <c r="A20" s="10" t="s">
        <v>101</v>
      </c>
      <c r="B20" s="10" t="s">
        <v>263</v>
      </c>
      <c r="C20" s="11">
        <v>1</v>
      </c>
      <c r="D20" s="10" t="s">
        <v>142</v>
      </c>
      <c r="E20" s="10" t="s">
        <v>157</v>
      </c>
      <c r="F20" s="11" t="s">
        <v>152</v>
      </c>
      <c r="G20" s="11">
        <v>1</v>
      </c>
      <c r="H20" s="11">
        <f ca="1" t="shared" si="1"/>
        <v>1</v>
      </c>
      <c r="I20" s="11" t="s">
        <v>150</v>
      </c>
      <c r="J20" s="11">
        <v>1</v>
      </c>
      <c r="K20" s="11">
        <f ca="1" t="shared" si="0"/>
        <v>1</v>
      </c>
      <c r="L20" s="11">
        <f t="shared" si="2"/>
        <v>2</v>
      </c>
      <c r="M20" s="11">
        <f>SUMIF('Vorteile-Eigenschaften'!$B$4:$B$43,$A20,'Vorteile-Eigenschaften'!$D$4:$D$43)+SUMIF('Meisterschaften-Eigenschaften'!$B$4:$B$46,$A20,'Meisterschaften-Eigenschaften'!$D$4:$D$46)</f>
        <v>0</v>
      </c>
      <c r="N20" s="11">
        <f>SUMIF('Vorteile-Eigenschaften'!$B$4:$B$43,$A20,'Vorteile-Eigenschaften'!$F$4:$F$43)+SUMIF('Meisterschaften-Eigenschaften'!$B$4:$B$46,$A20,'Meisterschaften-Eigenschaften'!$F$4:$F$46)</f>
        <v>0</v>
      </c>
    </row>
    <row r="21" spans="1:14" ht="12.75">
      <c r="A21" s="10" t="s">
        <v>128</v>
      </c>
      <c r="B21" s="10" t="s">
        <v>412</v>
      </c>
      <c r="C21" s="11">
        <v>1</v>
      </c>
      <c r="D21" s="10" t="s">
        <v>143</v>
      </c>
      <c r="E21" s="10" t="s">
        <v>409</v>
      </c>
      <c r="F21" s="11"/>
      <c r="G21" s="11">
        <v>1</v>
      </c>
      <c r="H21" s="11">
        <f ca="1" t="shared" si="1"/>
      </c>
      <c r="I21" s="11"/>
      <c r="J21" s="11">
        <v>1</v>
      </c>
      <c r="K21" s="11">
        <f ca="1" t="shared" si="0"/>
      </c>
      <c r="L21" s="11">
        <f t="shared" si="2"/>
        <v>0</v>
      </c>
      <c r="M21" s="11">
        <f>SUMIF('Vorteile-Eigenschaften'!$B$4:$B$43,$A21,'Vorteile-Eigenschaften'!$D$4:$D$43)+SUMIF('Meisterschaften-Eigenschaften'!$B$4:$B$46,$A21,'Meisterschaften-Eigenschaften'!$D$4:$D$46)</f>
        <v>0</v>
      </c>
      <c r="N21" s="11">
        <f>SUMIF('Vorteile-Eigenschaften'!$B$4:$B$43,$A21,'Vorteile-Eigenschaften'!$F$4:$F$43)+SUMIF('Meisterschaften-Eigenschaften'!$B$4:$B$46,$A21,'Meisterschaften-Eigenschaften'!$F$4:$F$46)</f>
        <v>0</v>
      </c>
    </row>
    <row r="22" spans="1:14" ht="12.75">
      <c r="A22" s="10" t="s">
        <v>92</v>
      </c>
      <c r="B22" s="10"/>
      <c r="C22" s="11">
        <v>0</v>
      </c>
      <c r="D22" s="10" t="s">
        <v>142</v>
      </c>
      <c r="E22" s="10" t="s">
        <v>155</v>
      </c>
      <c r="F22" s="11"/>
      <c r="G22" s="11">
        <v>1</v>
      </c>
      <c r="H22" s="11">
        <f ca="1" t="shared" si="1"/>
      </c>
      <c r="I22" s="11"/>
      <c r="J22" s="11">
        <v>1</v>
      </c>
      <c r="K22" s="11">
        <f ca="1" t="shared" si="0"/>
      </c>
      <c r="L22" s="11">
        <f t="shared" si="2"/>
        <v>0</v>
      </c>
      <c r="M22" s="11">
        <f>SUMIF('Vorteile-Eigenschaften'!$B$4:$B$43,$A22,'Vorteile-Eigenschaften'!$D$4:$D$43)+SUMIF('Meisterschaften-Eigenschaften'!$B$4:$B$46,$A22,'Meisterschaften-Eigenschaften'!$D$4:$D$46)</f>
        <v>0</v>
      </c>
      <c r="N22" s="11">
        <f>SUMIF('Vorteile-Eigenschaften'!$B$4:$B$43,$A22,'Vorteile-Eigenschaften'!$F$4:$F$43)+SUMIF('Meisterschaften-Eigenschaften'!$B$4:$B$46,$A22,'Meisterschaften-Eigenschaften'!$F$4:$F$46)</f>
        <v>0</v>
      </c>
    </row>
    <row r="23" spans="1:14" ht="12.75">
      <c r="A23" s="10" t="s">
        <v>135</v>
      </c>
      <c r="B23" s="10"/>
      <c r="C23" s="11">
        <v>1</v>
      </c>
      <c r="D23" s="10" t="s">
        <v>401</v>
      </c>
      <c r="E23" s="10" t="s">
        <v>407</v>
      </c>
      <c r="F23" s="11" t="s">
        <v>402</v>
      </c>
      <c r="G23" s="11">
        <v>1</v>
      </c>
      <c r="H23" s="11">
        <f ca="1" t="shared" si="1"/>
        <v>5</v>
      </c>
      <c r="I23" s="11" t="s">
        <v>146</v>
      </c>
      <c r="J23" s="11">
        <v>2</v>
      </c>
      <c r="K23" s="11">
        <f ca="1" t="shared" si="0"/>
        <v>2</v>
      </c>
      <c r="L23" s="11">
        <f t="shared" si="2"/>
        <v>7</v>
      </c>
      <c r="M23" s="11">
        <f>SUMIF('Vorteile-Eigenschaften'!$B$4:$B$43,$A23,'Vorteile-Eigenschaften'!$D$4:$D$43)+SUMIF('Meisterschaften-Eigenschaften'!$B$4:$B$46,$A23,'Meisterschaften-Eigenschaften'!$D$4:$D$46)</f>
        <v>0</v>
      </c>
      <c r="N23" s="11">
        <f>SUMIF('Vorteile-Eigenschaften'!$B$4:$B$43,$A23,'Vorteile-Eigenschaften'!$F$4:$F$43)+SUMIF('Meisterschaften-Eigenschaften'!$B$4:$B$46,$A23,'Meisterschaften-Eigenschaften'!$F$4:$F$46)</f>
        <v>0</v>
      </c>
    </row>
    <row r="24" spans="1:14" ht="12.75">
      <c r="A24" s="10" t="s">
        <v>134</v>
      </c>
      <c r="B24" s="10"/>
      <c r="C24" s="11">
        <v>1</v>
      </c>
      <c r="D24" s="10" t="s">
        <v>401</v>
      </c>
      <c r="E24" s="10" t="s">
        <v>407</v>
      </c>
      <c r="F24" s="11" t="s">
        <v>403</v>
      </c>
      <c r="G24" s="11">
        <v>1</v>
      </c>
      <c r="H24" s="138">
        <f>VLOOKUP(RASSE,RASSETABLEAU,3)</f>
        <v>0</v>
      </c>
      <c r="I24" s="11"/>
      <c r="J24" s="11">
        <v>1</v>
      </c>
      <c r="K24" s="11">
        <f ca="1" t="shared" si="0"/>
      </c>
      <c r="L24" s="11">
        <f t="shared" si="2"/>
        <v>0</v>
      </c>
      <c r="M24" s="11">
        <f>SUMIF('Vorteile-Eigenschaften'!$B$4:$B$43,$A24,'Vorteile-Eigenschaften'!$D$4:$D$43)+SUMIF('Meisterschaften-Eigenschaften'!$B$4:$B$46,$A24,'Meisterschaften-Eigenschaften'!$D$4:$D$46)</f>
        <v>0</v>
      </c>
      <c r="N24" s="11">
        <f>SUMIF('Vorteile-Eigenschaften'!$B$4:$B$43,$A24,'Vorteile-Eigenschaften'!$F$4:$F$43)+SUMIF('Meisterschaften-Eigenschaften'!$B$4:$B$46,$A24,'Meisterschaften-Eigenschaften'!$F$4:$F$46)</f>
        <v>0</v>
      </c>
    </row>
    <row r="25" spans="1:14" ht="12.75">
      <c r="A25" s="10" t="s">
        <v>87</v>
      </c>
      <c r="B25" s="10" t="s">
        <v>279</v>
      </c>
      <c r="C25" s="11">
        <v>1</v>
      </c>
      <c r="D25" s="10" t="s">
        <v>142</v>
      </c>
      <c r="E25" s="10" t="s">
        <v>154</v>
      </c>
      <c r="F25" s="11" t="s">
        <v>146</v>
      </c>
      <c r="G25" s="11">
        <v>1</v>
      </c>
      <c r="H25" s="11">
        <f ca="1" t="shared" si="1"/>
        <v>1</v>
      </c>
      <c r="I25" s="11" t="s">
        <v>151</v>
      </c>
      <c r="J25" s="11">
        <v>1</v>
      </c>
      <c r="K25" s="11">
        <f ca="1" t="shared" si="0"/>
        <v>1</v>
      </c>
      <c r="L25" s="11">
        <f t="shared" si="2"/>
        <v>2</v>
      </c>
      <c r="M25" s="11">
        <f>SUMIF('Vorteile-Eigenschaften'!$B$4:$B$43,$A25,'Vorteile-Eigenschaften'!$D$4:$D$43)+SUMIF('Meisterschaften-Eigenschaften'!$B$4:$B$46,$A25,'Meisterschaften-Eigenschaften'!$D$4:$D$46)</f>
        <v>0</v>
      </c>
      <c r="N25" s="11">
        <f>SUMIF('Vorteile-Eigenschaften'!$B$4:$B$43,$A25,'Vorteile-Eigenschaften'!$F$4:$F$43)+SUMIF('Meisterschaften-Eigenschaften'!$B$4:$B$46,$A25,'Meisterschaften-Eigenschaften'!$F$4:$F$46)</f>
        <v>0</v>
      </c>
    </row>
    <row r="26" spans="1:14" ht="12.75">
      <c r="A26" s="10" t="s">
        <v>476</v>
      </c>
      <c r="B26" s="10"/>
      <c r="C26" s="11">
        <v>1</v>
      </c>
      <c r="D26" s="10" t="s">
        <v>142</v>
      </c>
      <c r="E26" s="10" t="s">
        <v>478</v>
      </c>
      <c r="F26" s="11" t="s">
        <v>434</v>
      </c>
      <c r="G26" s="11">
        <v>1</v>
      </c>
      <c r="H26" s="11">
        <f ca="1">IF(F26="","",G26*INDIRECT(INDIRECT(F26)))</f>
        <v>2</v>
      </c>
      <c r="I26" s="11" t="s">
        <v>403</v>
      </c>
      <c r="J26" s="11">
        <v>1</v>
      </c>
      <c r="K26" s="138">
        <f>VLOOKUP(RASSE,RASSETABLEAU,4)</f>
        <v>0</v>
      </c>
      <c r="L26" s="11">
        <f t="shared" si="2"/>
        <v>2</v>
      </c>
      <c r="M26" s="11">
        <f>SUMIF('Vorteile-Eigenschaften'!$B$4:$B$43,$A26,'Vorteile-Eigenschaften'!$D$4:$D$43)+SUMIF('Meisterschaften-Eigenschaften'!$B$4:$B$46,$A26,'Meisterschaften-Eigenschaften'!$D$4:$D$46)</f>
        <v>0</v>
      </c>
      <c r="N26" s="11">
        <f>SUMIF('Vorteile-Eigenschaften'!$B$4:$B$43,$A26,'Vorteile-Eigenschaften'!$F$4:$F$43)+SUMIF('Meisterschaften-Eigenschaften'!$B$4:$B$46,$A26,'Meisterschaften-Eigenschaften'!$F$4:$F$46)</f>
        <v>0</v>
      </c>
    </row>
    <row r="27" spans="1:14" ht="25.5">
      <c r="A27" s="10" t="s">
        <v>111</v>
      </c>
      <c r="B27" s="10" t="s">
        <v>264</v>
      </c>
      <c r="C27" s="11">
        <v>1</v>
      </c>
      <c r="D27" s="10" t="s">
        <v>142</v>
      </c>
      <c r="E27" s="10" t="s">
        <v>159</v>
      </c>
      <c r="F27" s="11" t="s">
        <v>147</v>
      </c>
      <c r="G27" s="11">
        <v>1</v>
      </c>
      <c r="H27" s="11">
        <f ca="1" t="shared" si="1"/>
        <v>1</v>
      </c>
      <c r="I27" s="11" t="s">
        <v>152</v>
      </c>
      <c r="J27" s="11">
        <v>1</v>
      </c>
      <c r="K27" s="11">
        <f ca="1" t="shared" si="0"/>
        <v>1</v>
      </c>
      <c r="L27" s="11">
        <f t="shared" si="2"/>
        <v>2</v>
      </c>
      <c r="M27" s="11">
        <f>SUMIF('Vorteile-Eigenschaften'!$B$4:$B$43,$A27,'Vorteile-Eigenschaften'!$D$4:$D$43)+SUMIF('Meisterschaften-Eigenschaften'!$B$4:$B$46,$A27,'Meisterschaften-Eigenschaften'!$D$4:$D$46)</f>
        <v>0</v>
      </c>
      <c r="N27" s="11">
        <f>SUMIF('Vorteile-Eigenschaften'!$B$4:$B$43,$A27,'Vorteile-Eigenschaften'!$F$4:$F$43)+SUMIF('Meisterschaften-Eigenschaften'!$B$4:$B$46,$A27,'Meisterschaften-Eigenschaften'!$F$4:$F$46)</f>
        <v>0</v>
      </c>
    </row>
    <row r="28" spans="1:14" ht="25.5">
      <c r="A28" s="10" t="s">
        <v>106</v>
      </c>
      <c r="B28" s="10" t="s">
        <v>265</v>
      </c>
      <c r="C28" s="11">
        <v>1</v>
      </c>
      <c r="D28" s="10" t="s">
        <v>142</v>
      </c>
      <c r="E28" s="10" t="s">
        <v>158</v>
      </c>
      <c r="F28" s="11" t="s">
        <v>146</v>
      </c>
      <c r="G28" s="11">
        <v>1</v>
      </c>
      <c r="H28" s="11">
        <f ca="1" t="shared" si="1"/>
        <v>1</v>
      </c>
      <c r="I28" s="11" t="s">
        <v>148</v>
      </c>
      <c r="J28" s="11">
        <v>1</v>
      </c>
      <c r="K28" s="11">
        <f ca="1" t="shared" si="0"/>
        <v>1</v>
      </c>
      <c r="L28" s="11">
        <f t="shared" si="2"/>
        <v>2</v>
      </c>
      <c r="M28" s="11">
        <f>SUMIF('Vorteile-Eigenschaften'!$B$4:$B$43,$A28,'Vorteile-Eigenschaften'!$D$4:$D$43)+SUMIF('Meisterschaften-Eigenschaften'!$B$4:$B$46,$A28,'Meisterschaften-Eigenschaften'!$D$4:$D$46)</f>
        <v>0</v>
      </c>
      <c r="N28" s="11">
        <f>SUMIF('Vorteile-Eigenschaften'!$B$4:$B$43,$A28,'Vorteile-Eigenschaften'!$F$4:$F$43)+SUMIF('Meisterschaften-Eigenschaften'!$B$4:$B$46,$A28,'Meisterschaften-Eigenschaften'!$F$4:$F$46)</f>
        <v>0</v>
      </c>
    </row>
    <row r="29" spans="1:14" ht="25.5">
      <c r="A29" s="10" t="s">
        <v>88</v>
      </c>
      <c r="B29" s="10" t="s">
        <v>278</v>
      </c>
      <c r="C29" s="11">
        <v>1</v>
      </c>
      <c r="D29" s="10" t="s">
        <v>142</v>
      </c>
      <c r="E29" s="10" t="s">
        <v>154</v>
      </c>
      <c r="F29" s="11" t="s">
        <v>149</v>
      </c>
      <c r="G29" s="11">
        <v>1</v>
      </c>
      <c r="H29" s="11">
        <f ca="1" t="shared" si="1"/>
        <v>1</v>
      </c>
      <c r="I29" s="11" t="s">
        <v>151</v>
      </c>
      <c r="J29" s="11">
        <v>1</v>
      </c>
      <c r="K29" s="11">
        <f ca="1" t="shared" si="0"/>
        <v>1</v>
      </c>
      <c r="L29" s="11">
        <f t="shared" si="2"/>
        <v>2</v>
      </c>
      <c r="M29" s="11">
        <f>SUMIF('Vorteile-Eigenschaften'!$B$4:$B$43,$A29,'Vorteile-Eigenschaften'!$D$4:$D$43)+SUMIF('Meisterschaften-Eigenschaften'!$B$4:$B$46,$A29,'Meisterschaften-Eigenschaften'!$D$4:$D$46)</f>
        <v>0</v>
      </c>
      <c r="N29" s="11">
        <f>SUMIF('Vorteile-Eigenschaften'!$B$4:$B$43,$A29,'Vorteile-Eigenschaften'!$F$4:$F$43)+SUMIF('Meisterschaften-Eigenschaften'!$B$4:$B$46,$A29,'Meisterschaften-Eigenschaften'!$F$4:$F$46)</f>
        <v>0</v>
      </c>
    </row>
    <row r="30" spans="1:14" ht="12.75">
      <c r="A30" s="10" t="s">
        <v>480</v>
      </c>
      <c r="B30" s="10"/>
      <c r="C30" s="11">
        <v>1</v>
      </c>
      <c r="D30" s="10" t="s">
        <v>142</v>
      </c>
      <c r="E30" s="10" t="s">
        <v>478</v>
      </c>
      <c r="F30" s="11" t="s">
        <v>436</v>
      </c>
      <c r="G30" s="11">
        <v>1</v>
      </c>
      <c r="H30" s="11">
        <f ca="1">IF(F30="","",G30*INDIRECT(INDIRECT(F30)))</f>
        <v>2</v>
      </c>
      <c r="I30" s="11" t="s">
        <v>403</v>
      </c>
      <c r="J30" s="11">
        <v>1</v>
      </c>
      <c r="K30" s="138">
        <f>VLOOKUP(RASSE,RASSETABLEAU,4)</f>
        <v>0</v>
      </c>
      <c r="L30" s="11">
        <f t="shared" si="2"/>
        <v>2</v>
      </c>
      <c r="M30" s="11">
        <f>SUMIF('Vorteile-Eigenschaften'!$B$4:$B$43,$A30,'Vorteile-Eigenschaften'!$D$4:$D$43)+SUMIF('Meisterschaften-Eigenschaften'!$B$4:$B$46,$A30,'Meisterschaften-Eigenschaften'!$D$4:$D$46)</f>
        <v>0</v>
      </c>
      <c r="N30" s="11">
        <f>SUMIF('Vorteile-Eigenschaften'!$B$4:$B$43,$A30,'Vorteile-Eigenschaften'!$F$4:$F$43)+SUMIF('Meisterschaften-Eigenschaften'!$B$4:$B$46,$A30,'Meisterschaften-Eigenschaften'!$F$4:$F$46)</f>
        <v>0</v>
      </c>
    </row>
    <row r="31" spans="1:14" ht="12.75">
      <c r="A31" s="10" t="s">
        <v>112</v>
      </c>
      <c r="B31" s="10"/>
      <c r="C31" s="11">
        <v>0</v>
      </c>
      <c r="D31" s="10" t="s">
        <v>142</v>
      </c>
      <c r="E31" s="10" t="s">
        <v>159</v>
      </c>
      <c r="F31" s="11"/>
      <c r="G31" s="11">
        <v>1</v>
      </c>
      <c r="H31" s="11">
        <f ca="1" t="shared" si="1"/>
      </c>
      <c r="I31" s="11"/>
      <c r="J31" s="11">
        <v>1</v>
      </c>
      <c r="K31" s="11">
        <f ca="1" t="shared" si="0"/>
      </c>
      <c r="L31" s="11">
        <f t="shared" si="2"/>
        <v>0</v>
      </c>
      <c r="M31" s="11">
        <f>SUMIF('Vorteile-Eigenschaften'!$B$4:$B$43,$A31,'Vorteile-Eigenschaften'!$D$4:$D$43)+SUMIF('Meisterschaften-Eigenschaften'!$B$4:$B$46,$A31,'Meisterschaften-Eigenschaften'!$D$4:$D$46)</f>
        <v>0</v>
      </c>
      <c r="N31" s="11">
        <f>SUMIF('Vorteile-Eigenschaften'!$B$4:$B$43,$A31,'Vorteile-Eigenschaften'!$F$4:$F$43)+SUMIF('Meisterschaften-Eigenschaften'!$B$4:$B$46,$A31,'Meisterschaften-Eigenschaften'!$F$4:$F$46)</f>
        <v>0</v>
      </c>
    </row>
    <row r="32" spans="1:14" ht="12.75">
      <c r="A32" s="10" t="s">
        <v>129</v>
      </c>
      <c r="B32" s="10" t="s">
        <v>413</v>
      </c>
      <c r="C32" s="11">
        <v>1</v>
      </c>
      <c r="D32" s="10" t="s">
        <v>143</v>
      </c>
      <c r="E32" s="10" t="s">
        <v>408</v>
      </c>
      <c r="F32" s="11"/>
      <c r="G32" s="11">
        <v>1</v>
      </c>
      <c r="H32" s="11">
        <f ca="1" t="shared" si="1"/>
      </c>
      <c r="I32" s="11"/>
      <c r="J32" s="11">
        <v>1</v>
      </c>
      <c r="K32" s="11">
        <f ca="1" t="shared" si="0"/>
      </c>
      <c r="L32" s="11">
        <f t="shared" si="2"/>
        <v>0</v>
      </c>
      <c r="M32" s="11">
        <f>SUMIF('Vorteile-Eigenschaften'!$B$4:$B$43,$A32,'Vorteile-Eigenschaften'!$D$4:$D$43)+SUMIF('Meisterschaften-Eigenschaften'!$B$4:$B$46,$A32,'Meisterschaften-Eigenschaften'!$D$4:$D$46)</f>
        <v>0</v>
      </c>
      <c r="N32" s="11">
        <f>SUMIF('Vorteile-Eigenschaften'!$B$4:$B$43,$A32,'Vorteile-Eigenschaften'!$F$4:$F$43)+SUMIF('Meisterschaften-Eigenschaften'!$B$4:$B$46,$A32,'Meisterschaften-Eigenschaften'!$F$4:$F$46)</f>
        <v>0</v>
      </c>
    </row>
    <row r="33" spans="1:14" ht="12.75">
      <c r="A33" s="10" t="s">
        <v>121</v>
      </c>
      <c r="B33" s="10"/>
      <c r="C33" s="11">
        <v>0</v>
      </c>
      <c r="D33" s="10" t="s">
        <v>142</v>
      </c>
      <c r="E33" s="10" t="s">
        <v>161</v>
      </c>
      <c r="F33" s="11"/>
      <c r="G33" s="11">
        <v>1</v>
      </c>
      <c r="H33" s="11">
        <f ca="1" t="shared" si="1"/>
      </c>
      <c r="I33" s="11"/>
      <c r="J33" s="11">
        <v>1</v>
      </c>
      <c r="K33" s="11">
        <f ca="1" t="shared" si="0"/>
      </c>
      <c r="L33" s="11">
        <f t="shared" si="2"/>
        <v>0</v>
      </c>
      <c r="M33" s="11">
        <f>SUMIF('Vorteile-Eigenschaften'!$B$4:$B$43,$A33,'Vorteile-Eigenschaften'!$D$4:$D$43)+SUMIF('Meisterschaften-Eigenschaften'!$B$4:$B$46,$A33,'Meisterschaften-Eigenschaften'!$D$4:$D$46)</f>
        <v>0</v>
      </c>
      <c r="N33" s="11">
        <f>SUMIF('Vorteile-Eigenschaften'!$B$4:$B$43,$A33,'Vorteile-Eigenschaften'!$F$4:$F$43)+SUMIF('Meisterschaften-Eigenschaften'!$B$4:$B$46,$A33,'Meisterschaften-Eigenschaften'!$F$4:$F$46)</f>
        <v>0</v>
      </c>
    </row>
    <row r="34" spans="1:14" ht="25.5">
      <c r="A34" s="10" t="s">
        <v>89</v>
      </c>
      <c r="B34" s="10" t="s">
        <v>276</v>
      </c>
      <c r="C34" s="11">
        <v>1</v>
      </c>
      <c r="D34" s="10" t="s">
        <v>142</v>
      </c>
      <c r="E34" s="10" t="s">
        <v>154</v>
      </c>
      <c r="F34" s="11" t="s">
        <v>146</v>
      </c>
      <c r="G34" s="11">
        <v>1</v>
      </c>
      <c r="H34" s="11">
        <f ca="1" t="shared" si="1"/>
        <v>1</v>
      </c>
      <c r="I34" s="11" t="s">
        <v>147</v>
      </c>
      <c r="J34" s="11">
        <v>1</v>
      </c>
      <c r="K34" s="11">
        <f ca="1" t="shared" si="0"/>
        <v>1</v>
      </c>
      <c r="L34" s="11">
        <f t="shared" si="2"/>
        <v>2</v>
      </c>
      <c r="M34" s="11">
        <f>SUMIF('Vorteile-Eigenschaften'!$B$4:$B$43,$A34,'Vorteile-Eigenschaften'!$D$4:$D$43)+SUMIF('Meisterschaften-Eigenschaften'!$B$4:$B$46,$A34,'Meisterschaften-Eigenschaften'!$D$4:$D$46)</f>
        <v>0</v>
      </c>
      <c r="N34" s="11">
        <f>SUMIF('Vorteile-Eigenschaften'!$B$4:$B$43,$A34,'Vorteile-Eigenschaften'!$F$4:$F$43)+SUMIF('Meisterschaften-Eigenschaften'!$B$4:$B$46,$A34,'Meisterschaften-Eigenschaften'!$F$4:$F$46)</f>
        <v>0</v>
      </c>
    </row>
    <row r="35" spans="1:14" ht="12.75">
      <c r="A35" s="10" t="s">
        <v>481</v>
      </c>
      <c r="B35" s="10"/>
      <c r="C35" s="11">
        <v>1</v>
      </c>
      <c r="D35" s="10" t="s">
        <v>142</v>
      </c>
      <c r="E35" s="10" t="s">
        <v>478</v>
      </c>
      <c r="F35" s="11" t="s">
        <v>439</v>
      </c>
      <c r="G35" s="11">
        <v>1</v>
      </c>
      <c r="H35" s="11">
        <f ca="1">IF(F35="","",G35*INDIRECT(INDIRECT(F35)))</f>
        <v>2</v>
      </c>
      <c r="I35" s="11" t="s">
        <v>403</v>
      </c>
      <c r="J35" s="11">
        <v>1</v>
      </c>
      <c r="K35" s="138">
        <f>VLOOKUP(RASSE,RASSETABLEAU,4)</f>
        <v>0</v>
      </c>
      <c r="L35" s="11">
        <f t="shared" si="2"/>
        <v>2</v>
      </c>
      <c r="M35" s="11">
        <f>SUMIF('Vorteile-Eigenschaften'!$B$4:$B$43,$A35,'Vorteile-Eigenschaften'!$D$4:$D$43)+SUMIF('Meisterschaften-Eigenschaften'!$B$4:$B$46,$A35,'Meisterschaften-Eigenschaften'!$D$4:$D$46)</f>
        <v>0</v>
      </c>
      <c r="N35" s="11">
        <f>SUMIF('Vorteile-Eigenschaften'!$B$4:$B$43,$A35,'Vorteile-Eigenschaften'!$F$4:$F$43)+SUMIF('Meisterschaften-Eigenschaften'!$B$4:$B$46,$A35,'Meisterschaften-Eigenschaften'!$F$4:$F$46)</f>
        <v>0</v>
      </c>
    </row>
    <row r="36" spans="1:14" ht="25.5">
      <c r="A36" s="10" t="s">
        <v>90</v>
      </c>
      <c r="B36" s="10" t="s">
        <v>277</v>
      </c>
      <c r="C36" s="11">
        <v>1</v>
      </c>
      <c r="D36" s="10" t="s">
        <v>142</v>
      </c>
      <c r="E36" s="10" t="s">
        <v>154</v>
      </c>
      <c r="F36" s="11" t="s">
        <v>146</v>
      </c>
      <c r="G36" s="11">
        <v>1</v>
      </c>
      <c r="H36" s="11">
        <f ca="1" t="shared" si="1"/>
        <v>1</v>
      </c>
      <c r="I36" s="11" t="s">
        <v>151</v>
      </c>
      <c r="J36" s="11">
        <v>1</v>
      </c>
      <c r="K36" s="11">
        <f ca="1" t="shared" si="0"/>
        <v>1</v>
      </c>
      <c r="L36" s="11">
        <f t="shared" si="2"/>
        <v>2</v>
      </c>
      <c r="M36" s="11">
        <f>SUMIF('Vorteile-Eigenschaften'!$B$4:$B$43,$A36,'Vorteile-Eigenschaften'!$D$4:$D$43)+SUMIF('Meisterschaften-Eigenschaften'!$B$4:$B$46,$A36,'Meisterschaften-Eigenschaften'!$D$4:$D$46)</f>
        <v>0</v>
      </c>
      <c r="N36" s="11">
        <f>SUMIF('Vorteile-Eigenschaften'!$B$4:$B$43,$A36,'Vorteile-Eigenschaften'!$F$4:$F$43)+SUMIF('Meisterschaften-Eigenschaften'!$B$4:$B$46,$A36,'Meisterschaften-Eigenschaften'!$F$4:$F$46)</f>
        <v>0</v>
      </c>
    </row>
    <row r="37" spans="1:14" ht="12.75">
      <c r="A37" s="10" t="s">
        <v>482</v>
      </c>
      <c r="B37" s="10"/>
      <c r="C37" s="11">
        <v>1</v>
      </c>
      <c r="D37" s="10" t="s">
        <v>142</v>
      </c>
      <c r="E37" s="10" t="s">
        <v>478</v>
      </c>
      <c r="F37" s="11" t="s">
        <v>440</v>
      </c>
      <c r="G37" s="11">
        <v>1</v>
      </c>
      <c r="H37" s="11">
        <f ca="1">IF(F37="","",G37*INDIRECT(INDIRECT(F37)))</f>
        <v>2</v>
      </c>
      <c r="I37" s="11" t="s">
        <v>403</v>
      </c>
      <c r="J37" s="11">
        <v>1</v>
      </c>
      <c r="K37" s="138">
        <f>VLOOKUP(RASSE,RASSETABLEAU,4)</f>
        <v>0</v>
      </c>
      <c r="L37" s="11">
        <f t="shared" si="2"/>
        <v>2</v>
      </c>
      <c r="M37" s="11">
        <f>SUMIF('Vorteile-Eigenschaften'!$B$4:$B$43,$A37,'Vorteile-Eigenschaften'!$D$4:$D$43)+SUMIF('Meisterschaften-Eigenschaften'!$B$4:$B$46,$A37,'Meisterschaften-Eigenschaften'!$D$4:$D$46)</f>
        <v>0</v>
      </c>
      <c r="N37" s="11">
        <f>SUMIF('Vorteile-Eigenschaften'!$B$4:$B$43,$A37,'Vorteile-Eigenschaften'!$F$4:$F$43)+SUMIF('Meisterschaften-Eigenschaften'!$B$4:$B$46,$A37,'Meisterschaften-Eigenschaften'!$F$4:$F$46)</f>
        <v>0</v>
      </c>
    </row>
    <row r="38" spans="1:14" ht="12.75">
      <c r="A38" s="10" t="s">
        <v>327</v>
      </c>
      <c r="B38" s="10" t="s">
        <v>414</v>
      </c>
      <c r="C38" s="11">
        <v>1</v>
      </c>
      <c r="D38" s="10" t="s">
        <v>143</v>
      </c>
      <c r="E38" s="10" t="s">
        <v>409</v>
      </c>
      <c r="F38" s="11"/>
      <c r="G38" s="11">
        <v>1</v>
      </c>
      <c r="H38" s="11">
        <f ca="1" t="shared" si="1"/>
      </c>
      <c r="I38" s="11"/>
      <c r="J38" s="11">
        <v>1</v>
      </c>
      <c r="K38" s="11">
        <f ca="1" t="shared" si="0"/>
      </c>
      <c r="L38" s="11">
        <f t="shared" si="2"/>
        <v>0</v>
      </c>
      <c r="M38" s="11">
        <f>SUMIF('Vorteile-Eigenschaften'!$B$4:$B$43,$A38,'Vorteile-Eigenschaften'!$D$4:$D$43)+SUMIF('Meisterschaften-Eigenschaften'!$B$4:$B$46,$A38,'Meisterschaften-Eigenschaften'!$D$4:$D$46)</f>
        <v>0</v>
      </c>
      <c r="N38" s="11">
        <f>SUMIF('Vorteile-Eigenschaften'!$B$4:$B$43,$A38,'Vorteile-Eigenschaften'!$F$4:$F$43)+SUMIF('Meisterschaften-Eigenschaften'!$B$4:$B$46,$A38,'Meisterschaften-Eigenschaften'!$F$4:$F$46)</f>
        <v>0</v>
      </c>
    </row>
    <row r="39" spans="1:14" ht="12.75">
      <c r="A39" s="10" t="s">
        <v>137</v>
      </c>
      <c r="B39" s="10"/>
      <c r="C39" s="11">
        <v>1</v>
      </c>
      <c r="D39" s="10" t="s">
        <v>401</v>
      </c>
      <c r="E39" s="10" t="s">
        <v>397</v>
      </c>
      <c r="F39" s="11" t="s">
        <v>149</v>
      </c>
      <c r="G39" s="11">
        <v>2</v>
      </c>
      <c r="H39" s="11">
        <f ca="1" t="shared" si="1"/>
        <v>2</v>
      </c>
      <c r="I39" s="11"/>
      <c r="J39" s="11">
        <v>1</v>
      </c>
      <c r="K39" s="11">
        <f ca="1" t="shared" si="0"/>
      </c>
      <c r="L39" s="11">
        <f t="shared" si="2"/>
        <v>2</v>
      </c>
      <c r="M39" s="11">
        <f>SUMIF('Vorteile-Eigenschaften'!$B$4:$B$43,$A39,'Vorteile-Eigenschaften'!$D$4:$D$43)+SUMIF('Meisterschaften-Eigenschaften'!$B$4:$B$46,$A39,'Meisterschaften-Eigenschaften'!$D$4:$D$46)</f>
        <v>0</v>
      </c>
      <c r="N39" s="11">
        <f>SUMIF('Vorteile-Eigenschaften'!$B$4:$B$43,$A39,'Vorteile-Eigenschaften'!$F$4:$F$43)+SUMIF('Meisterschaften-Eigenschaften'!$B$4:$B$46,$A39,'Meisterschaften-Eigenschaften'!$F$4:$F$46)</f>
        <v>0</v>
      </c>
    </row>
    <row r="40" spans="1:14" ht="12.75">
      <c r="A40" s="10" t="s">
        <v>102</v>
      </c>
      <c r="B40" s="10"/>
      <c r="C40" s="11">
        <v>0</v>
      </c>
      <c r="D40" s="10" t="s">
        <v>142</v>
      </c>
      <c r="E40" s="10" t="s">
        <v>157</v>
      </c>
      <c r="F40" s="11"/>
      <c r="G40" s="11">
        <v>1</v>
      </c>
      <c r="H40" s="11">
        <f ca="1" t="shared" si="1"/>
      </c>
      <c r="I40" s="11"/>
      <c r="J40" s="11">
        <v>1</v>
      </c>
      <c r="K40" s="11">
        <f ca="1" t="shared" si="0"/>
      </c>
      <c r="L40" s="11">
        <f t="shared" si="2"/>
        <v>0</v>
      </c>
      <c r="M40" s="11">
        <f>SUMIF('Vorteile-Eigenschaften'!$B$4:$B$43,$A40,'Vorteile-Eigenschaften'!$D$4:$D$43)+SUMIF('Meisterschaften-Eigenschaften'!$B$4:$B$46,$A40,'Meisterschaften-Eigenschaften'!$D$4:$D$46)</f>
        <v>0</v>
      </c>
      <c r="N40" s="11">
        <f>SUMIF('Vorteile-Eigenschaften'!$B$4:$B$43,$A40,'Vorteile-Eigenschaften'!$F$4:$F$43)+SUMIF('Meisterschaften-Eigenschaften'!$B$4:$B$46,$A40,'Meisterschaften-Eigenschaften'!$F$4:$F$46)</f>
        <v>0</v>
      </c>
    </row>
    <row r="41" spans="1:14" ht="12.75">
      <c r="A41" s="7" t="s">
        <v>173</v>
      </c>
      <c r="B41" s="10"/>
      <c r="C41" s="11">
        <v>1</v>
      </c>
      <c r="D41" s="10" t="s">
        <v>401</v>
      </c>
      <c r="E41" s="10" t="s">
        <v>407</v>
      </c>
      <c r="F41" s="11" t="s">
        <v>402</v>
      </c>
      <c r="G41" s="11">
        <v>1</v>
      </c>
      <c r="H41" s="11">
        <f ca="1" t="shared" si="1"/>
        <v>5</v>
      </c>
      <c r="I41" s="11" t="s">
        <v>149</v>
      </c>
      <c r="J41" s="11">
        <v>1</v>
      </c>
      <c r="K41" s="11">
        <f ca="1" t="shared" si="0"/>
        <v>1</v>
      </c>
      <c r="L41" s="11">
        <f t="shared" si="2"/>
        <v>6</v>
      </c>
      <c r="M41" s="11">
        <f>SUMIF('Vorteile-Eigenschaften'!$B$4:$B$43,$A41,'Vorteile-Eigenschaften'!$D$4:$D$43)+SUMIF('Meisterschaften-Eigenschaften'!$B$4:$B$46,$A41,'Meisterschaften-Eigenschaften'!$D$4:$D$46)</f>
        <v>0</v>
      </c>
      <c r="N41" s="11">
        <f>SUMIF('Vorteile-Eigenschaften'!$B$4:$B$43,$A41,'Vorteile-Eigenschaften'!$F$4:$F$43)+SUMIF('Meisterschaften-Eigenschaften'!$B$4:$B$46,$A41,'Meisterschaften-Eigenschaften'!$F$4:$F$46)</f>
        <v>0</v>
      </c>
    </row>
    <row r="42" spans="1:14" ht="12.75">
      <c r="A42" s="10" t="s">
        <v>113</v>
      </c>
      <c r="B42" s="10"/>
      <c r="C42" s="11">
        <v>0</v>
      </c>
      <c r="D42" s="10" t="s">
        <v>142</v>
      </c>
      <c r="E42" s="10" t="s">
        <v>159</v>
      </c>
      <c r="F42" s="11"/>
      <c r="G42" s="11">
        <v>1</v>
      </c>
      <c r="H42" s="11">
        <f ca="1" t="shared" si="1"/>
      </c>
      <c r="I42" s="11"/>
      <c r="J42" s="11">
        <v>1</v>
      </c>
      <c r="K42" s="11">
        <f ca="1" t="shared" si="0"/>
      </c>
      <c r="L42" s="11">
        <f t="shared" si="2"/>
        <v>0</v>
      </c>
      <c r="M42" s="11">
        <f>SUMIF('Vorteile-Eigenschaften'!$B$4:$B$43,$A42,'Vorteile-Eigenschaften'!$D$4:$D$43)+SUMIF('Meisterschaften-Eigenschaften'!$B$4:$B$46,$A42,'Meisterschaften-Eigenschaften'!$D$4:$D$46)</f>
        <v>0</v>
      </c>
      <c r="N42" s="11">
        <f>SUMIF('Vorteile-Eigenschaften'!$B$4:$B$43,$A42,'Vorteile-Eigenschaften'!$F$4:$F$43)+SUMIF('Meisterschaften-Eigenschaften'!$B$4:$B$46,$A42,'Meisterschaften-Eigenschaften'!$F$4:$F$46)</f>
        <v>0</v>
      </c>
    </row>
    <row r="43" spans="1:14" ht="25.5">
      <c r="A43" s="10" t="s">
        <v>201</v>
      </c>
      <c r="B43" s="10" t="s">
        <v>280</v>
      </c>
      <c r="C43" s="11">
        <v>1</v>
      </c>
      <c r="D43" s="10" t="s">
        <v>142</v>
      </c>
      <c r="E43" s="10" t="s">
        <v>172</v>
      </c>
      <c r="F43" s="11" t="s">
        <v>150</v>
      </c>
      <c r="G43" s="11">
        <v>1</v>
      </c>
      <c r="H43" s="11">
        <f ca="1" t="shared" si="1"/>
        <v>1</v>
      </c>
      <c r="I43" s="11" t="s">
        <v>153</v>
      </c>
      <c r="J43" s="11">
        <v>1</v>
      </c>
      <c r="K43" s="11">
        <f ca="1" t="shared" si="0"/>
        <v>1</v>
      </c>
      <c r="L43" s="11">
        <f t="shared" si="2"/>
        <v>2</v>
      </c>
      <c r="M43" s="11">
        <f>SUMIF('Vorteile-Eigenschaften'!$B$4:$B$43,$A43,'Vorteile-Eigenschaften'!$D$4:$D$43)+SUMIF('Meisterschaften-Eigenschaften'!$B$4:$B$46,$A43,'Meisterschaften-Eigenschaften'!$D$4:$D$46)</f>
        <v>0</v>
      </c>
      <c r="N43" s="11">
        <f>SUMIF('Vorteile-Eigenschaften'!$B$4:$B$43,$A43,'Vorteile-Eigenschaften'!$F$4:$F$43)+SUMIF('Meisterschaften-Eigenschaften'!$B$4:$B$46,$A43,'Meisterschaften-Eigenschaften'!$F$4:$F$46)</f>
        <v>0</v>
      </c>
    </row>
    <row r="44" spans="1:14" ht="25.5">
      <c r="A44" s="10" t="s">
        <v>204</v>
      </c>
      <c r="B44" s="10" t="s">
        <v>281</v>
      </c>
      <c r="C44" s="11">
        <v>1</v>
      </c>
      <c r="D44" s="10" t="s">
        <v>142</v>
      </c>
      <c r="E44" s="10" t="s">
        <v>172</v>
      </c>
      <c r="F44" s="11" t="s">
        <v>150</v>
      </c>
      <c r="G44" s="11">
        <v>1</v>
      </c>
      <c r="H44" s="11">
        <f ca="1" t="shared" si="1"/>
        <v>1</v>
      </c>
      <c r="I44" s="11" t="s">
        <v>152</v>
      </c>
      <c r="J44" s="11">
        <v>1</v>
      </c>
      <c r="K44" s="11">
        <f ca="1" t="shared" si="0"/>
        <v>1</v>
      </c>
      <c r="L44" s="11">
        <f t="shared" si="2"/>
        <v>2</v>
      </c>
      <c r="M44" s="11">
        <f>SUMIF('Vorteile-Eigenschaften'!$B$4:$B$43,$A44,'Vorteile-Eigenschaften'!$D$4:$D$43)+SUMIF('Meisterschaften-Eigenschaften'!$B$4:$B$46,$A44,'Meisterschaften-Eigenschaften'!$D$4:$D$46)</f>
        <v>0</v>
      </c>
      <c r="N44" s="11">
        <f>SUMIF('Vorteile-Eigenschaften'!$B$4:$B$43,$A44,'Vorteile-Eigenschaften'!$F$4:$F$43)+SUMIF('Meisterschaften-Eigenschaften'!$B$4:$B$46,$A44,'Meisterschaften-Eigenschaften'!$F$4:$F$46)</f>
        <v>0</v>
      </c>
    </row>
    <row r="45" spans="1:14" ht="25.5">
      <c r="A45" s="10" t="s">
        <v>205</v>
      </c>
      <c r="B45" s="10" t="s">
        <v>282</v>
      </c>
      <c r="C45" s="11">
        <v>1</v>
      </c>
      <c r="D45" s="10" t="s">
        <v>142</v>
      </c>
      <c r="E45" s="10" t="s">
        <v>172</v>
      </c>
      <c r="F45" s="11" t="s">
        <v>150</v>
      </c>
      <c r="G45" s="11">
        <v>1</v>
      </c>
      <c r="H45" s="11">
        <f ca="1" t="shared" si="1"/>
        <v>1</v>
      </c>
      <c r="I45" s="11" t="s">
        <v>145</v>
      </c>
      <c r="J45" s="11">
        <v>1</v>
      </c>
      <c r="K45" s="11">
        <f ca="1" t="shared" si="0"/>
        <v>1</v>
      </c>
      <c r="L45" s="11">
        <f t="shared" si="2"/>
        <v>2</v>
      </c>
      <c r="M45" s="11">
        <f>SUMIF('Vorteile-Eigenschaften'!$B$4:$B$43,$A45,'Vorteile-Eigenschaften'!$D$4:$D$43)+SUMIF('Meisterschaften-Eigenschaften'!$B$4:$B$46,$A45,'Meisterschaften-Eigenschaften'!$D$4:$D$46)</f>
        <v>0</v>
      </c>
      <c r="N45" s="11">
        <f>SUMIF('Vorteile-Eigenschaften'!$B$4:$B$43,$A45,'Vorteile-Eigenschaften'!$F$4:$F$43)+SUMIF('Meisterschaften-Eigenschaften'!$B$4:$B$46,$A45,'Meisterschaften-Eigenschaften'!$F$4:$F$46)</f>
        <v>0</v>
      </c>
    </row>
    <row r="46" spans="1:14" ht="12.75">
      <c r="A46" s="10" t="s">
        <v>206</v>
      </c>
      <c r="B46" s="10" t="s">
        <v>283</v>
      </c>
      <c r="C46" s="11">
        <v>1</v>
      </c>
      <c r="D46" s="10" t="s">
        <v>142</v>
      </c>
      <c r="E46" s="10" t="s">
        <v>172</v>
      </c>
      <c r="F46" s="11" t="s">
        <v>150</v>
      </c>
      <c r="G46" s="11">
        <v>1</v>
      </c>
      <c r="H46" s="11">
        <f ca="1" t="shared" si="1"/>
        <v>1</v>
      </c>
      <c r="I46" s="11" t="s">
        <v>148</v>
      </c>
      <c r="J46" s="11">
        <v>1</v>
      </c>
      <c r="K46" s="11">
        <f ca="1" t="shared" si="0"/>
        <v>1</v>
      </c>
      <c r="L46" s="11">
        <f t="shared" si="2"/>
        <v>2</v>
      </c>
      <c r="M46" s="11">
        <f>SUMIF('Vorteile-Eigenschaften'!$B$4:$B$43,$A46,'Vorteile-Eigenschaften'!$D$4:$D$43)+SUMIF('Meisterschaften-Eigenschaften'!$B$4:$B$46,$A46,'Meisterschaften-Eigenschaften'!$D$4:$D$46)</f>
        <v>0</v>
      </c>
      <c r="N46" s="11">
        <f>SUMIF('Vorteile-Eigenschaften'!$B$4:$B$43,$A46,'Vorteile-Eigenschaften'!$F$4:$F$43)+SUMIF('Meisterschaften-Eigenschaften'!$B$4:$B$46,$A46,'Meisterschaften-Eigenschaften'!$F$4:$F$46)</f>
        <v>0</v>
      </c>
    </row>
    <row r="47" spans="1:14" ht="25.5">
      <c r="A47" s="10" t="s">
        <v>202</v>
      </c>
      <c r="B47" s="10" t="s">
        <v>284</v>
      </c>
      <c r="C47" s="11">
        <v>1</v>
      </c>
      <c r="D47" s="10" t="s">
        <v>142</v>
      </c>
      <c r="E47" s="10" t="s">
        <v>172</v>
      </c>
      <c r="F47" s="11" t="s">
        <v>150</v>
      </c>
      <c r="G47" s="11">
        <v>1</v>
      </c>
      <c r="H47" s="11">
        <f ca="1" t="shared" si="1"/>
        <v>1</v>
      </c>
      <c r="I47" s="11" t="s">
        <v>145</v>
      </c>
      <c r="J47" s="11">
        <v>1</v>
      </c>
      <c r="K47" s="11">
        <f ca="1" t="shared" si="0"/>
        <v>1</v>
      </c>
      <c r="L47" s="11">
        <f t="shared" si="2"/>
        <v>2</v>
      </c>
      <c r="M47" s="11">
        <f>SUMIF('Vorteile-Eigenschaften'!$B$4:$B$43,$A47,'Vorteile-Eigenschaften'!$D$4:$D$43)+SUMIF('Meisterschaften-Eigenschaften'!$B$4:$B$46,$A47,'Meisterschaften-Eigenschaften'!$D$4:$D$46)</f>
        <v>0</v>
      </c>
      <c r="N47" s="11">
        <f>SUMIF('Vorteile-Eigenschaften'!$B$4:$B$43,$A47,'Vorteile-Eigenschaften'!$F$4:$F$43)+SUMIF('Meisterschaften-Eigenschaften'!$B$4:$B$46,$A47,'Meisterschaften-Eigenschaften'!$F$4:$F$46)</f>
        <v>0</v>
      </c>
    </row>
    <row r="48" spans="1:14" ht="25.5">
      <c r="A48" s="10" t="s">
        <v>203</v>
      </c>
      <c r="B48" s="10" t="s">
        <v>285</v>
      </c>
      <c r="C48" s="11">
        <v>1</v>
      </c>
      <c r="D48" s="10" t="s">
        <v>142</v>
      </c>
      <c r="E48" s="10" t="s">
        <v>172</v>
      </c>
      <c r="F48" s="11" t="s">
        <v>150</v>
      </c>
      <c r="G48" s="11">
        <v>1</v>
      </c>
      <c r="H48" s="11">
        <f ca="1" t="shared" si="1"/>
        <v>1</v>
      </c>
      <c r="I48" s="11" t="s">
        <v>149</v>
      </c>
      <c r="J48" s="11">
        <v>1</v>
      </c>
      <c r="K48" s="11">
        <f ca="1" t="shared" si="0"/>
        <v>1</v>
      </c>
      <c r="L48" s="11">
        <f t="shared" si="2"/>
        <v>2</v>
      </c>
      <c r="M48" s="11">
        <f>SUMIF('Vorteile-Eigenschaften'!$B$4:$B$43,$A48,'Vorteile-Eigenschaften'!$D$4:$D$43)+SUMIF('Meisterschaften-Eigenschaften'!$B$4:$B$46,$A48,'Meisterschaften-Eigenschaften'!$D$4:$D$46)</f>
        <v>0</v>
      </c>
      <c r="N48" s="11">
        <f>SUMIF('Vorteile-Eigenschaften'!$B$4:$B$43,$A48,'Vorteile-Eigenschaften'!$F$4:$F$43)+SUMIF('Meisterschaften-Eigenschaften'!$B$4:$B$46,$A48,'Meisterschaften-Eigenschaften'!$F$4:$F$46)</f>
        <v>0</v>
      </c>
    </row>
    <row r="49" spans="1:14" ht="12.75">
      <c r="A49" s="10" t="s">
        <v>114</v>
      </c>
      <c r="B49" s="10"/>
      <c r="C49" s="11">
        <v>0</v>
      </c>
      <c r="D49" s="10" t="s">
        <v>142</v>
      </c>
      <c r="E49" s="10" t="s">
        <v>159</v>
      </c>
      <c r="F49" s="11"/>
      <c r="G49" s="11">
        <v>1</v>
      </c>
      <c r="H49" s="11">
        <f ca="1" t="shared" si="1"/>
      </c>
      <c r="I49" s="11"/>
      <c r="J49" s="11">
        <v>1</v>
      </c>
      <c r="K49" s="11">
        <f ca="1" t="shared" si="0"/>
      </c>
      <c r="L49" s="11">
        <f t="shared" si="2"/>
        <v>0</v>
      </c>
      <c r="M49" s="11">
        <f>SUMIF('Vorteile-Eigenschaften'!$B$4:$B$43,$A49,'Vorteile-Eigenschaften'!$D$4:$D$43)+SUMIF('Meisterschaften-Eigenschaften'!$B$4:$B$46,$A49,'Meisterschaften-Eigenschaften'!$D$4:$D$46)</f>
        <v>0</v>
      </c>
      <c r="N49" s="11">
        <f>SUMIF('Vorteile-Eigenschaften'!$B$4:$B$43,$A49,'Vorteile-Eigenschaften'!$F$4:$F$43)+SUMIF('Meisterschaften-Eigenschaften'!$B$4:$B$46,$A49,'Meisterschaften-Eigenschaften'!$F$4:$F$46)</f>
        <v>0</v>
      </c>
    </row>
    <row r="50" spans="1:14" ht="12.75">
      <c r="A50" s="10" t="s">
        <v>131</v>
      </c>
      <c r="B50" s="10" t="s">
        <v>415</v>
      </c>
      <c r="C50" s="11">
        <v>1</v>
      </c>
      <c r="D50" s="10" t="s">
        <v>143</v>
      </c>
      <c r="E50" s="10" t="s">
        <v>408</v>
      </c>
      <c r="F50" s="11"/>
      <c r="G50" s="11">
        <v>1</v>
      </c>
      <c r="H50" s="11">
        <f ca="1" t="shared" si="1"/>
      </c>
      <c r="I50" s="11"/>
      <c r="J50" s="11">
        <v>1</v>
      </c>
      <c r="K50" s="11">
        <f ca="1" t="shared" si="0"/>
      </c>
      <c r="L50" s="11">
        <f t="shared" si="2"/>
        <v>0</v>
      </c>
      <c r="M50" s="11">
        <f>SUMIF('Vorteile-Eigenschaften'!$B$4:$B$43,$A50,'Vorteile-Eigenschaften'!$D$4:$D$43)+SUMIF('Meisterschaften-Eigenschaften'!$B$4:$B$46,$A50,'Meisterschaften-Eigenschaften'!$D$4:$D$46)</f>
        <v>0</v>
      </c>
      <c r="N50" s="11">
        <f>SUMIF('Vorteile-Eigenschaften'!$B$4:$B$43,$A50,'Vorteile-Eigenschaften'!$F$4:$F$43)+SUMIF('Meisterschaften-Eigenschaften'!$B$4:$B$46,$A50,'Meisterschaften-Eigenschaften'!$F$4:$F$46)</f>
        <v>0</v>
      </c>
    </row>
    <row r="51" spans="1:14" ht="12.75">
      <c r="A51" s="10" t="s">
        <v>103</v>
      </c>
      <c r="B51" s="10" t="s">
        <v>266</v>
      </c>
      <c r="C51" s="11">
        <v>1</v>
      </c>
      <c r="D51" s="10" t="s">
        <v>142</v>
      </c>
      <c r="E51" s="10" t="s">
        <v>157</v>
      </c>
      <c r="F51" s="11" t="s">
        <v>152</v>
      </c>
      <c r="G51" s="11">
        <v>1</v>
      </c>
      <c r="H51" s="11">
        <f ca="1" t="shared" si="1"/>
        <v>1</v>
      </c>
      <c r="I51" s="11" t="s">
        <v>148</v>
      </c>
      <c r="J51" s="11">
        <v>1</v>
      </c>
      <c r="K51" s="11">
        <f ca="1" t="shared" si="0"/>
        <v>1</v>
      </c>
      <c r="L51" s="11">
        <f t="shared" si="2"/>
        <v>2</v>
      </c>
      <c r="M51" s="11">
        <f>SUMIF('Vorteile-Eigenschaften'!$B$4:$B$43,$A51,'Vorteile-Eigenschaften'!$D$4:$D$43)+SUMIF('Meisterschaften-Eigenschaften'!$B$4:$B$46,$A51,'Meisterschaften-Eigenschaften'!$D$4:$D$46)</f>
        <v>0</v>
      </c>
      <c r="N51" s="11">
        <f>SUMIF('Vorteile-Eigenschaften'!$B$4:$B$43,$A51,'Vorteile-Eigenschaften'!$F$4:$F$43)+SUMIF('Meisterschaften-Eigenschaften'!$B$4:$B$46,$A51,'Meisterschaften-Eigenschaften'!$F$4:$F$46)</f>
        <v>0</v>
      </c>
    </row>
    <row r="52" spans="1:14" ht="12.75">
      <c r="A52" s="10" t="s">
        <v>185</v>
      </c>
      <c r="B52" s="10"/>
      <c r="C52" s="11">
        <v>1</v>
      </c>
      <c r="D52" s="10" t="s">
        <v>143</v>
      </c>
      <c r="E52" s="10" t="s">
        <v>407</v>
      </c>
      <c r="F52" s="11"/>
      <c r="G52" s="11">
        <v>1</v>
      </c>
      <c r="H52" s="11"/>
      <c r="I52" s="11"/>
      <c r="J52" s="11">
        <v>1</v>
      </c>
      <c r="K52" s="11"/>
      <c r="L52" s="11">
        <f t="shared" si="2"/>
        <v>0</v>
      </c>
      <c r="M52" s="11">
        <f>SUMIF('Vorteile-Eigenschaften'!$B$4:$B$43,$A52,'Vorteile-Eigenschaften'!$D$4:$D$43)+SUMIF('Meisterschaften-Eigenschaften'!$B$4:$B$46,$A52,'Meisterschaften-Eigenschaften'!$D$4:$D$46)</f>
        <v>0</v>
      </c>
      <c r="N52" s="11">
        <f>SUMIF('Vorteile-Eigenschaften'!$B$4:$B$43,$A52,'Vorteile-Eigenschaften'!$F$4:$F$43)+SUMIF('Meisterschaften-Eigenschaften'!$B$4:$B$46,$A52,'Meisterschaften-Eigenschaften'!$F$4:$F$46)</f>
        <v>0</v>
      </c>
    </row>
    <row r="53" spans="1:14" ht="25.5">
      <c r="A53" s="10" t="s">
        <v>119</v>
      </c>
      <c r="B53" s="10" t="s">
        <v>267</v>
      </c>
      <c r="C53" s="11">
        <v>1</v>
      </c>
      <c r="D53" s="10" t="s">
        <v>142</v>
      </c>
      <c r="E53" s="10" t="s">
        <v>160</v>
      </c>
      <c r="F53" s="11" t="s">
        <v>145</v>
      </c>
      <c r="G53" s="11">
        <v>1</v>
      </c>
      <c r="H53" s="11">
        <f ca="1" t="shared" si="1"/>
        <v>1</v>
      </c>
      <c r="I53" s="11" t="s">
        <v>148</v>
      </c>
      <c r="J53" s="11">
        <v>1</v>
      </c>
      <c r="K53" s="11">
        <f ca="1" t="shared" si="0"/>
        <v>1</v>
      </c>
      <c r="L53" s="11">
        <f t="shared" si="2"/>
        <v>2</v>
      </c>
      <c r="M53" s="11">
        <f>SUMIF('Vorteile-Eigenschaften'!$B$4:$B$43,$A53,'Vorteile-Eigenschaften'!$D$4:$D$43)+SUMIF('Meisterschaften-Eigenschaften'!$B$4:$B$46,$A53,'Meisterschaften-Eigenschaften'!$D$4:$D$46)</f>
        <v>0</v>
      </c>
      <c r="N53" s="11">
        <f>SUMIF('Vorteile-Eigenschaften'!$B$4:$B$43,$A53,'Vorteile-Eigenschaften'!$F$4:$F$43)+SUMIF('Meisterschaften-Eigenschaften'!$B$4:$B$46,$A53,'Meisterschaften-Eigenschaften'!$F$4:$F$46)</f>
        <v>0</v>
      </c>
    </row>
    <row r="54" spans="1:14" ht="12.75">
      <c r="A54" s="10" t="s">
        <v>93</v>
      </c>
      <c r="B54" s="10"/>
      <c r="C54" s="11">
        <v>0</v>
      </c>
      <c r="D54" s="10" t="s">
        <v>142</v>
      </c>
      <c r="E54" s="10" t="s">
        <v>155</v>
      </c>
      <c r="F54" s="11"/>
      <c r="G54" s="11">
        <v>1</v>
      </c>
      <c r="H54" s="11">
        <f ca="1" t="shared" si="1"/>
      </c>
      <c r="I54" s="11"/>
      <c r="J54" s="11">
        <v>1</v>
      </c>
      <c r="K54" s="11">
        <f ca="1" t="shared" si="0"/>
      </c>
      <c r="L54" s="11">
        <f t="shared" si="2"/>
        <v>0</v>
      </c>
      <c r="M54" s="11">
        <f>SUMIF('Vorteile-Eigenschaften'!$B$4:$B$43,$A54,'Vorteile-Eigenschaften'!$D$4:$D$43)+SUMIF('Meisterschaften-Eigenschaften'!$B$4:$B$46,$A54,'Meisterschaften-Eigenschaften'!$D$4:$D$46)</f>
        <v>0</v>
      </c>
      <c r="N54" s="11">
        <f>SUMIF('Vorteile-Eigenschaften'!$B$4:$B$43,$A54,'Vorteile-Eigenschaften'!$F$4:$F$43)+SUMIF('Meisterschaften-Eigenschaften'!$B$4:$B$46,$A54,'Meisterschaften-Eigenschaften'!$F$4:$F$46)</f>
        <v>0</v>
      </c>
    </row>
    <row r="55" spans="1:14" ht="25.5">
      <c r="A55" s="10" t="s">
        <v>107</v>
      </c>
      <c r="B55" s="10" t="s">
        <v>268</v>
      </c>
      <c r="C55" s="11">
        <v>1</v>
      </c>
      <c r="D55" s="10" t="s">
        <v>142</v>
      </c>
      <c r="E55" s="10" t="s">
        <v>158</v>
      </c>
      <c r="F55" s="11" t="s">
        <v>147</v>
      </c>
      <c r="G55" s="11">
        <v>1</v>
      </c>
      <c r="H55" s="11">
        <f ca="1" t="shared" si="1"/>
        <v>1</v>
      </c>
      <c r="I55" s="11" t="s">
        <v>148</v>
      </c>
      <c r="J55" s="11">
        <v>1</v>
      </c>
      <c r="K55" s="11">
        <f ca="1" t="shared" si="0"/>
        <v>1</v>
      </c>
      <c r="L55" s="11">
        <f t="shared" si="2"/>
        <v>2</v>
      </c>
      <c r="M55" s="11">
        <f>SUMIF('Vorteile-Eigenschaften'!$B$4:$B$43,$A55,'Vorteile-Eigenschaften'!$D$4:$D$43)+SUMIF('Meisterschaften-Eigenschaften'!$B$4:$B$46,$A55,'Meisterschaften-Eigenschaften'!$D$4:$D$46)</f>
        <v>0</v>
      </c>
      <c r="N55" s="11">
        <f>SUMIF('Vorteile-Eigenschaften'!$B$4:$B$43,$A55,'Vorteile-Eigenschaften'!$F$4:$F$43)+SUMIF('Meisterschaften-Eigenschaften'!$B$4:$B$46,$A55,'Meisterschaften-Eigenschaften'!$F$4:$F$46)</f>
        <v>0</v>
      </c>
    </row>
    <row r="56" spans="1:14" ht="12.75">
      <c r="A56" s="10" t="s">
        <v>94</v>
      </c>
      <c r="B56" s="10" t="s">
        <v>419</v>
      </c>
      <c r="C56" s="11">
        <v>1</v>
      </c>
      <c r="D56" s="10" t="s">
        <v>142</v>
      </c>
      <c r="E56" s="10" t="s">
        <v>155</v>
      </c>
      <c r="F56" s="11" t="s">
        <v>147</v>
      </c>
      <c r="G56" s="11">
        <v>1</v>
      </c>
      <c r="H56" s="11">
        <f ca="1" t="shared" si="1"/>
        <v>1</v>
      </c>
      <c r="I56" s="11" t="s">
        <v>148</v>
      </c>
      <c r="J56" s="11">
        <v>1</v>
      </c>
      <c r="K56" s="11">
        <f ca="1" t="shared" si="0"/>
        <v>1</v>
      </c>
      <c r="L56" s="11">
        <f t="shared" si="2"/>
        <v>2</v>
      </c>
      <c r="M56" s="11">
        <f>SUMIF('Vorteile-Eigenschaften'!$B$4:$B$43,$A56,'Vorteile-Eigenschaften'!$D$4:$D$43)+SUMIF('Meisterschaften-Eigenschaften'!$B$4:$B$46,$A56,'Meisterschaften-Eigenschaften'!$D$4:$D$46)</f>
        <v>0</v>
      </c>
      <c r="N56" s="11">
        <f>SUMIF('Vorteile-Eigenschaften'!$B$4:$B$43,$A56,'Vorteile-Eigenschaften'!$F$4:$F$43)+SUMIF('Meisterschaften-Eigenschaften'!$B$4:$B$46,$A56,'Meisterschaften-Eigenschaften'!$F$4:$F$46)</f>
        <v>0</v>
      </c>
    </row>
    <row r="57" spans="1:14" ht="25.5">
      <c r="A57" s="10" t="s">
        <v>98</v>
      </c>
      <c r="B57" s="10"/>
      <c r="C57" s="11">
        <v>0</v>
      </c>
      <c r="D57" s="10" t="s">
        <v>142</v>
      </c>
      <c r="E57" s="10" t="s">
        <v>156</v>
      </c>
      <c r="F57" s="11"/>
      <c r="G57" s="11">
        <v>1</v>
      </c>
      <c r="H57" s="11">
        <f ca="1" t="shared" si="1"/>
      </c>
      <c r="I57" s="11"/>
      <c r="J57" s="11">
        <v>1</v>
      </c>
      <c r="K57" s="11">
        <f ca="1" t="shared" si="0"/>
      </c>
      <c r="L57" s="11">
        <f t="shared" si="2"/>
        <v>0</v>
      </c>
      <c r="M57" s="11">
        <f>SUMIF('Vorteile-Eigenschaften'!$B$4:$B$43,$A57,'Vorteile-Eigenschaften'!$D$4:$D$43)+SUMIF('Meisterschaften-Eigenschaften'!$B$4:$B$46,$A57,'Meisterschaften-Eigenschaften'!$D$4:$D$46)</f>
        <v>0</v>
      </c>
      <c r="N57" s="11">
        <f>SUMIF('Vorteile-Eigenschaften'!$B$4:$B$43,$A57,'Vorteile-Eigenschaften'!$F$4:$F$43)+SUMIF('Meisterschaften-Eigenschaften'!$B$4:$B$46,$A57,'Meisterschaften-Eigenschaften'!$F$4:$F$46)</f>
        <v>0</v>
      </c>
    </row>
    <row r="58" spans="1:14" ht="12.75">
      <c r="A58" s="10" t="s">
        <v>122</v>
      </c>
      <c r="B58" s="10"/>
      <c r="C58" s="11">
        <v>0</v>
      </c>
      <c r="D58" s="10" t="s">
        <v>142</v>
      </c>
      <c r="E58" s="10" t="s">
        <v>161</v>
      </c>
      <c r="F58" s="11"/>
      <c r="G58" s="11">
        <v>1</v>
      </c>
      <c r="H58" s="11">
        <f ca="1" t="shared" si="1"/>
      </c>
      <c r="I58" s="11"/>
      <c r="J58" s="11">
        <v>1</v>
      </c>
      <c r="K58" s="11">
        <f ca="1" t="shared" si="0"/>
      </c>
      <c r="L58" s="11">
        <f t="shared" si="2"/>
        <v>0</v>
      </c>
      <c r="M58" s="11">
        <f>SUMIF('Vorteile-Eigenschaften'!$B$4:$B$43,$A58,'Vorteile-Eigenschaften'!$D$4:$D$43)+SUMIF('Meisterschaften-Eigenschaften'!$B$4:$B$46,$A58,'Meisterschaften-Eigenschaften'!$D$4:$D$46)</f>
        <v>0</v>
      </c>
      <c r="N58" s="11">
        <f>SUMIF('Vorteile-Eigenschaften'!$B$4:$B$43,$A58,'Vorteile-Eigenschaften'!$F$4:$F$43)+SUMIF('Meisterschaften-Eigenschaften'!$B$4:$B$46,$A58,'Meisterschaften-Eigenschaften'!$F$4:$F$46)</f>
        <v>0</v>
      </c>
    </row>
    <row r="59" spans="1:14" ht="12.75">
      <c r="A59" s="10" t="s">
        <v>200</v>
      </c>
      <c r="B59" s="10"/>
      <c r="C59" s="11">
        <v>1</v>
      </c>
      <c r="D59" s="10" t="s">
        <v>401</v>
      </c>
      <c r="E59" s="10" t="s">
        <v>407</v>
      </c>
      <c r="F59" s="11"/>
      <c r="G59" s="11">
        <v>1</v>
      </c>
      <c r="H59" s="11">
        <f ca="1" t="shared" si="1"/>
      </c>
      <c r="I59" s="11"/>
      <c r="J59" s="11"/>
      <c r="K59" s="11">
        <f ca="1" t="shared" si="0"/>
      </c>
      <c r="L59" s="11">
        <f t="shared" si="2"/>
        <v>0</v>
      </c>
      <c r="M59" s="11">
        <f>SUMIF('Vorteile-Eigenschaften'!$B$4:$B$43,$A59,'Vorteile-Eigenschaften'!$D$4:$D$43)+SUMIF('Meisterschaften-Eigenschaften'!$B$4:$B$46,$A59,'Meisterschaften-Eigenschaften'!$D$4:$D$46)</f>
        <v>0</v>
      </c>
      <c r="N59" s="11">
        <f>SUMIF('Vorteile-Eigenschaften'!$B$4:$B$43,$A59,'Vorteile-Eigenschaften'!$F$4:$F$43)+SUMIF('Meisterschaften-Eigenschaften'!$B$4:$B$46,$A59,'Meisterschaften-Eigenschaften'!$F$4:$F$46)</f>
        <v>0</v>
      </c>
    </row>
    <row r="60" spans="1:14" ht="25.5">
      <c r="A60" s="10" t="s">
        <v>91</v>
      </c>
      <c r="B60" s="10" t="s">
        <v>275</v>
      </c>
      <c r="C60" s="11">
        <v>1</v>
      </c>
      <c r="D60" s="10" t="s">
        <v>142</v>
      </c>
      <c r="E60" s="10" t="s">
        <v>154</v>
      </c>
      <c r="F60" s="11" t="s">
        <v>146</v>
      </c>
      <c r="G60" s="11">
        <v>1</v>
      </c>
      <c r="H60" s="11">
        <f ca="1" t="shared" si="1"/>
        <v>1</v>
      </c>
      <c r="I60" s="11" t="s">
        <v>151</v>
      </c>
      <c r="J60" s="11">
        <v>1</v>
      </c>
      <c r="K60" s="11">
        <f ca="1" t="shared" si="0"/>
        <v>1</v>
      </c>
      <c r="L60" s="11">
        <f t="shared" si="2"/>
        <v>2</v>
      </c>
      <c r="M60" s="11">
        <f>SUMIF('Vorteile-Eigenschaften'!$B$4:$B$43,$A60,'Vorteile-Eigenschaften'!$D$4:$D$43)+SUMIF('Meisterschaften-Eigenschaften'!$B$4:$B$46,$A60,'Meisterschaften-Eigenschaften'!$D$4:$D$46)</f>
        <v>0</v>
      </c>
      <c r="N60" s="11">
        <f>SUMIF('Vorteile-Eigenschaften'!$B$4:$B$43,$A60,'Vorteile-Eigenschaften'!$F$4:$F$43)+SUMIF('Meisterschaften-Eigenschaften'!$B$4:$B$46,$A60,'Meisterschaften-Eigenschaften'!$F$4:$F$46)</f>
        <v>0</v>
      </c>
    </row>
    <row r="61" spans="1:14" ht="12.75">
      <c r="A61" s="10" t="s">
        <v>483</v>
      </c>
      <c r="B61" s="10"/>
      <c r="C61" s="11">
        <v>1</v>
      </c>
      <c r="D61" s="10" t="s">
        <v>142</v>
      </c>
      <c r="E61" s="10" t="s">
        <v>478</v>
      </c>
      <c r="F61" s="11" t="s">
        <v>448</v>
      </c>
      <c r="G61" s="11">
        <v>1</v>
      </c>
      <c r="H61" s="11">
        <f ca="1" t="shared" si="1"/>
        <v>2</v>
      </c>
      <c r="I61" s="11" t="s">
        <v>403</v>
      </c>
      <c r="J61" s="11">
        <v>1</v>
      </c>
      <c r="K61" s="138">
        <f>VLOOKUP(RASSE,RASSETABLEAU,4)</f>
        <v>0</v>
      </c>
      <c r="L61" s="11">
        <f t="shared" si="2"/>
        <v>2</v>
      </c>
      <c r="M61" s="11">
        <f>SUMIF('Vorteile-Eigenschaften'!$B$4:$B$43,$A61,'Vorteile-Eigenschaften'!$D$4:$D$43)+SUMIF('Meisterschaften-Eigenschaften'!$B$4:$B$46,$A61,'Meisterschaften-Eigenschaften'!$D$4:$D$46)</f>
        <v>0</v>
      </c>
      <c r="N61" s="11">
        <f>SUMIF('Vorteile-Eigenschaften'!$B$4:$B$43,$A61,'Vorteile-Eigenschaften'!$F$4:$F$43)+SUMIF('Meisterschaften-Eigenschaften'!$B$4:$B$46,$A61,'Meisterschaften-Eigenschaften'!$F$4:$F$46)</f>
        <v>0</v>
      </c>
    </row>
    <row r="62" spans="1:14" ht="12.75">
      <c r="A62" s="10" t="s">
        <v>190</v>
      </c>
      <c r="B62" s="10" t="s">
        <v>416</v>
      </c>
      <c r="C62" s="11">
        <v>1</v>
      </c>
      <c r="D62" s="10" t="s">
        <v>143</v>
      </c>
      <c r="E62" s="10" t="s">
        <v>409</v>
      </c>
      <c r="F62" s="11"/>
      <c r="G62" s="11">
        <v>1</v>
      </c>
      <c r="H62" s="11">
        <f ca="1" t="shared" si="1"/>
      </c>
      <c r="I62" s="11"/>
      <c r="J62" s="11">
        <v>1</v>
      </c>
      <c r="K62" s="11">
        <f ca="1" t="shared" si="0"/>
      </c>
      <c r="L62" s="11">
        <f t="shared" si="2"/>
        <v>0</v>
      </c>
      <c r="M62" s="11">
        <f>SUMIF('Vorteile-Eigenschaften'!$B$4:$B$43,$A62,'Vorteile-Eigenschaften'!$D$4:$D$43)+SUMIF('Meisterschaften-Eigenschaften'!$B$4:$B$46,$A62,'Meisterschaften-Eigenschaften'!$D$4:$D$46)</f>
        <v>0</v>
      </c>
      <c r="N62" s="11">
        <f>SUMIF('Vorteile-Eigenschaften'!$B$4:$B$43,$A62,'Vorteile-Eigenschaften'!$F$4:$F$43)+SUMIF('Meisterschaften-Eigenschaften'!$B$4:$B$46,$A62,'Meisterschaften-Eigenschaften'!$F$4:$F$46)</f>
        <v>0</v>
      </c>
    </row>
    <row r="63" spans="1:14" ht="25.5">
      <c r="A63" s="10" t="s">
        <v>108</v>
      </c>
      <c r="B63" s="10" t="s">
        <v>269</v>
      </c>
      <c r="C63" s="11">
        <v>1</v>
      </c>
      <c r="D63" s="10" t="s">
        <v>142</v>
      </c>
      <c r="E63" s="10" t="s">
        <v>158</v>
      </c>
      <c r="F63" s="11" t="s">
        <v>145</v>
      </c>
      <c r="G63" s="11">
        <v>1</v>
      </c>
      <c r="H63" s="11">
        <f ca="1" t="shared" si="1"/>
        <v>1</v>
      </c>
      <c r="I63" s="11" t="s">
        <v>148</v>
      </c>
      <c r="J63" s="11">
        <v>1</v>
      </c>
      <c r="K63" s="11">
        <f ca="1" t="shared" si="0"/>
        <v>1</v>
      </c>
      <c r="L63" s="11">
        <f t="shared" si="2"/>
        <v>2</v>
      </c>
      <c r="M63" s="11">
        <f>SUMIF('Vorteile-Eigenschaften'!$B$4:$B$43,$A63,'Vorteile-Eigenschaften'!$D$4:$D$43)+SUMIF('Meisterschaften-Eigenschaften'!$B$4:$B$46,$A63,'Meisterschaften-Eigenschaften'!$D$4:$D$46)</f>
        <v>0</v>
      </c>
      <c r="N63" s="11">
        <f>SUMIF('Vorteile-Eigenschaften'!$B$4:$B$43,$A63,'Vorteile-Eigenschaften'!$F$4:$F$43)+SUMIF('Meisterschaften-Eigenschaften'!$B$4:$B$46,$A63,'Meisterschaften-Eigenschaften'!$F$4:$F$46)</f>
        <v>0</v>
      </c>
    </row>
    <row r="64" spans="1:14" ht="25.5">
      <c r="A64" s="10" t="s">
        <v>123</v>
      </c>
      <c r="B64" s="10" t="s">
        <v>270</v>
      </c>
      <c r="C64" s="11">
        <v>1</v>
      </c>
      <c r="D64" s="10" t="s">
        <v>142</v>
      </c>
      <c r="E64" s="10" t="s">
        <v>161</v>
      </c>
      <c r="F64" s="11" t="s">
        <v>146</v>
      </c>
      <c r="G64" s="11">
        <v>1</v>
      </c>
      <c r="H64" s="11">
        <f ca="1" t="shared" si="1"/>
        <v>1</v>
      </c>
      <c r="I64" s="11" t="s">
        <v>145</v>
      </c>
      <c r="J64" s="11">
        <v>1</v>
      </c>
      <c r="K64" s="11">
        <f ca="1" t="shared" si="0"/>
        <v>1</v>
      </c>
      <c r="L64" s="11">
        <f t="shared" si="2"/>
        <v>2</v>
      </c>
      <c r="M64" s="11">
        <f>SUMIF('Vorteile-Eigenschaften'!$B$4:$B$43,$A64,'Vorteile-Eigenschaften'!$D$4:$D$43)+SUMIF('Meisterschaften-Eigenschaften'!$B$4:$B$46,$A64,'Meisterschaften-Eigenschaften'!$D$4:$D$46)</f>
        <v>0</v>
      </c>
      <c r="N64" s="11">
        <f>SUMIF('Vorteile-Eigenschaften'!$B$4:$B$43,$A64,'Vorteile-Eigenschaften'!$F$4:$F$43)+SUMIF('Meisterschaften-Eigenschaften'!$B$4:$B$46,$A64,'Meisterschaften-Eigenschaften'!$F$4:$F$46)</f>
        <v>0</v>
      </c>
    </row>
    <row r="65" spans="1:14" ht="38.25">
      <c r="A65" s="10" t="s">
        <v>124</v>
      </c>
      <c r="B65" s="10" t="s">
        <v>271</v>
      </c>
      <c r="C65" s="11">
        <v>1</v>
      </c>
      <c r="D65" s="10" t="s">
        <v>142</v>
      </c>
      <c r="E65" s="10" t="s">
        <v>161</v>
      </c>
      <c r="F65" s="11" t="s">
        <v>149</v>
      </c>
      <c r="G65" s="11">
        <v>1</v>
      </c>
      <c r="H65" s="11">
        <f ca="1" t="shared" si="1"/>
        <v>1</v>
      </c>
      <c r="I65" s="11" t="s">
        <v>148</v>
      </c>
      <c r="J65" s="11">
        <v>1</v>
      </c>
      <c r="K65" s="11">
        <f ca="1" t="shared" si="0"/>
        <v>1</v>
      </c>
      <c r="L65" s="11">
        <f t="shared" si="2"/>
        <v>2</v>
      </c>
      <c r="M65" s="11">
        <f>SUMIF('Vorteile-Eigenschaften'!$B$4:$B$43,$A65,'Vorteile-Eigenschaften'!$D$4:$D$43)+SUMIF('Meisterschaften-Eigenschaften'!$B$4:$B$46,$A65,'Meisterschaften-Eigenschaften'!$D$4:$D$46)</f>
        <v>0</v>
      </c>
      <c r="N65" s="11">
        <f>SUMIF('Vorteile-Eigenschaften'!$B$4:$B$43,$A65,'Vorteile-Eigenschaften'!$F$4:$F$43)+SUMIF('Meisterschaften-Eigenschaften'!$B$4:$B$46,$A65,'Meisterschaften-Eigenschaften'!$F$4:$F$46)</f>
        <v>0</v>
      </c>
    </row>
    <row r="66" spans="1:14" ht="12.75">
      <c r="A66" s="10" t="s">
        <v>120</v>
      </c>
      <c r="B66" s="10"/>
      <c r="C66" s="11">
        <v>0</v>
      </c>
      <c r="D66" s="10" t="s">
        <v>142</v>
      </c>
      <c r="E66" s="10" t="s">
        <v>160</v>
      </c>
      <c r="F66" s="11"/>
      <c r="G66" s="11">
        <v>1</v>
      </c>
      <c r="H66" s="11">
        <f ca="1" t="shared" si="1"/>
      </c>
      <c r="I66" s="11"/>
      <c r="J66" s="11">
        <v>1</v>
      </c>
      <c r="K66" s="11">
        <f ca="1" t="shared" si="0"/>
      </c>
      <c r="L66" s="11">
        <f t="shared" si="2"/>
        <v>0</v>
      </c>
      <c r="M66" s="11">
        <f>SUMIF('Vorteile-Eigenschaften'!$B$4:$B$43,$A66,'Vorteile-Eigenschaften'!$D$4:$D$43)+SUMIF('Meisterschaften-Eigenschaften'!$B$4:$B$46,$A66,'Meisterschaften-Eigenschaften'!$D$4:$D$46)</f>
        <v>0</v>
      </c>
      <c r="N66" s="11">
        <f>SUMIF('Vorteile-Eigenschaften'!$B$4:$B$43,$A66,'Vorteile-Eigenschaften'!$F$4:$F$43)+SUMIF('Meisterschaften-Eigenschaften'!$B$4:$B$46,$A66,'Meisterschaften-Eigenschaften'!$F$4:$F$46)</f>
        <v>0</v>
      </c>
    </row>
    <row r="67" spans="1:14" ht="12.75">
      <c r="A67" s="10" t="s">
        <v>132</v>
      </c>
      <c r="B67" s="10" t="s">
        <v>417</v>
      </c>
      <c r="C67" s="11">
        <v>1</v>
      </c>
      <c r="D67" s="10" t="s">
        <v>143</v>
      </c>
      <c r="E67" s="10" t="s">
        <v>408</v>
      </c>
      <c r="F67" s="11"/>
      <c r="G67" s="11">
        <v>1</v>
      </c>
      <c r="H67" s="11">
        <f ca="1" t="shared" si="1"/>
      </c>
      <c r="I67" s="11"/>
      <c r="J67" s="11">
        <v>1</v>
      </c>
      <c r="K67" s="11">
        <f ca="1" t="shared" si="0"/>
      </c>
      <c r="L67" s="11">
        <f t="shared" si="2"/>
        <v>0</v>
      </c>
      <c r="M67" s="11">
        <f>SUMIF('Vorteile-Eigenschaften'!$B$4:$B$43,$A67,'Vorteile-Eigenschaften'!$D$4:$D$43)+SUMIF('Meisterschaften-Eigenschaften'!$B$4:$B$46,$A67,'Meisterschaften-Eigenschaften'!$D$4:$D$46)</f>
        <v>0</v>
      </c>
      <c r="N67" s="11">
        <f>SUMIF('Vorteile-Eigenschaften'!$B$4:$B$43,$A67,'Vorteile-Eigenschaften'!$F$4:$F$43)+SUMIF('Meisterschaften-Eigenschaften'!$B$4:$B$46,$A67,'Meisterschaften-Eigenschaften'!$F$4:$F$46)</f>
        <v>0</v>
      </c>
    </row>
    <row r="68" spans="1:14" ht="12.75">
      <c r="A68" s="10" t="s">
        <v>136</v>
      </c>
      <c r="B68" s="10"/>
      <c r="C68" s="11">
        <v>1</v>
      </c>
      <c r="D68" s="10" t="s">
        <v>401</v>
      </c>
      <c r="E68" s="10" t="s">
        <v>397</v>
      </c>
      <c r="F68" s="11" t="s">
        <v>146</v>
      </c>
      <c r="G68" s="11">
        <v>2</v>
      </c>
      <c r="H68" s="11">
        <f ca="1" t="shared" si="1"/>
        <v>2</v>
      </c>
      <c r="I68" s="11" t="s">
        <v>403</v>
      </c>
      <c r="J68" s="11">
        <v>1</v>
      </c>
      <c r="K68" s="138">
        <f>VLOOKUP(RASSE,RASSETABLEAU,4)</f>
        <v>0</v>
      </c>
      <c r="L68" s="11">
        <f t="shared" si="2"/>
        <v>2</v>
      </c>
      <c r="M68" s="11">
        <f>SUMIF('Vorteile-Eigenschaften'!$B$4:$B$43,$A68,'Vorteile-Eigenschaften'!$D$4:$D$43)+SUMIF('Meisterschaften-Eigenschaften'!$B$4:$B$46,$A68,'Meisterschaften-Eigenschaften'!$D$4:$D$46)</f>
        <v>0</v>
      </c>
      <c r="N68" s="11">
        <f>SUMIF('Vorteile-Eigenschaften'!$B$4:$B$43,$A68,'Vorteile-Eigenschaften'!$F$4:$F$43)+SUMIF('Meisterschaften-Eigenschaften'!$B$4:$B$46,$A68,'Meisterschaften-Eigenschaften'!$F$4:$F$46)</f>
        <v>0</v>
      </c>
    </row>
    <row r="69" spans="1:14" ht="25.5">
      <c r="A69" s="10" t="s">
        <v>125</v>
      </c>
      <c r="B69" s="10" t="s">
        <v>272</v>
      </c>
      <c r="C69" s="11">
        <v>1</v>
      </c>
      <c r="D69" s="10" t="s">
        <v>142</v>
      </c>
      <c r="E69" s="10" t="s">
        <v>161</v>
      </c>
      <c r="F69" s="11" t="s">
        <v>153</v>
      </c>
      <c r="G69" s="11">
        <v>1</v>
      </c>
      <c r="H69" s="11">
        <f ca="1" t="shared" si="1"/>
        <v>1</v>
      </c>
      <c r="I69" s="11" t="s">
        <v>148</v>
      </c>
      <c r="J69" s="11">
        <v>1</v>
      </c>
      <c r="K69" s="11">
        <f ca="1" t="shared" si="0"/>
        <v>1</v>
      </c>
      <c r="L69" s="11">
        <f t="shared" si="2"/>
        <v>2</v>
      </c>
      <c r="M69" s="11">
        <f>SUMIF('Vorteile-Eigenschaften'!$B$4:$B$43,$A69,'Vorteile-Eigenschaften'!$D$4:$D$43)+SUMIF('Meisterschaften-Eigenschaften'!$B$4:$B$46,$A69,'Meisterschaften-Eigenschaften'!$D$4:$D$46)</f>
        <v>0</v>
      </c>
      <c r="N69" s="11">
        <f>SUMIF('Vorteile-Eigenschaften'!$B$4:$B$43,$A69,'Vorteile-Eigenschaften'!$F$4:$F$43)+SUMIF('Meisterschaften-Eigenschaften'!$B$4:$B$46,$A69,'Meisterschaften-Eigenschaften'!$F$4:$F$46)</f>
        <v>0</v>
      </c>
    </row>
    <row r="70" spans="1:14" ht="12.75">
      <c r="A70" s="10" t="s">
        <v>133</v>
      </c>
      <c r="B70" s="10" t="s">
        <v>418</v>
      </c>
      <c r="C70" s="11">
        <v>1</v>
      </c>
      <c r="D70" s="10" t="s">
        <v>143</v>
      </c>
      <c r="E70" s="10" t="s">
        <v>408</v>
      </c>
      <c r="F70" s="11"/>
      <c r="G70" s="11">
        <v>1</v>
      </c>
      <c r="H70" s="11">
        <f ca="1" t="shared" si="1"/>
      </c>
      <c r="I70" s="11"/>
      <c r="J70" s="11">
        <v>1</v>
      </c>
      <c r="K70" s="11">
        <f ca="1" t="shared" si="0"/>
      </c>
      <c r="L70" s="11">
        <f>IF(H70="",0,H70)+IF(K70="",0,K70)</f>
        <v>0</v>
      </c>
      <c r="M70" s="11">
        <f>SUMIF('Vorteile-Eigenschaften'!$B$4:$B$43,$A70,'Vorteile-Eigenschaften'!$D$4:$D$43)+SUMIF('Meisterschaften-Eigenschaften'!$B$4:$B$46,$A70,'Meisterschaften-Eigenschaften'!$D$4:$D$46)</f>
        <v>0</v>
      </c>
      <c r="N70" s="11">
        <f>SUMIF('Vorteile-Eigenschaften'!$B$4:$B$43,$A70,'Vorteile-Eigenschaften'!$F$4:$F$43)+SUMIF('Meisterschaften-Eigenschaften'!$B$4:$B$46,$A70,'Meisterschaften-Eigenschaften'!$F$4:$F$46)</f>
        <v>0</v>
      </c>
    </row>
    <row r="71" spans="1:14" ht="12.75">
      <c r="A71" s="10" t="s">
        <v>104</v>
      </c>
      <c r="B71" s="10"/>
      <c r="C71" s="11">
        <v>0</v>
      </c>
      <c r="D71" s="10" t="s">
        <v>142</v>
      </c>
      <c r="E71" s="10" t="s">
        <v>157</v>
      </c>
      <c r="F71" s="11"/>
      <c r="G71" s="11">
        <v>1</v>
      </c>
      <c r="H71" s="11">
        <f ca="1" t="shared" si="1"/>
      </c>
      <c r="I71" s="11"/>
      <c r="J71" s="11">
        <v>1</v>
      </c>
      <c r="K71" s="11">
        <f ca="1" t="shared" si="0"/>
      </c>
      <c r="L71" s="11">
        <f>IF(H71="",0,H71)+IF(K71="",0,K71)</f>
        <v>0</v>
      </c>
      <c r="M71" s="11">
        <f>SUMIF('Vorteile-Eigenschaften'!$B$4:$B$43,$A71,'Vorteile-Eigenschaften'!$D$4:$D$43)+SUMIF('Meisterschaften-Eigenschaften'!$B$4:$B$46,$A71,'Meisterschaften-Eigenschaften'!$D$4:$D$46)</f>
        <v>0</v>
      </c>
      <c r="N71" s="11">
        <f>SUMIF('Vorteile-Eigenschaften'!$B$4:$B$43,$A71,'Vorteile-Eigenschaften'!$F$4:$F$43)+SUMIF('Meisterschaften-Eigenschaften'!$B$4:$B$46,$A71,'Meisterschaften-Eigenschaften'!$F$4:$F$46)</f>
        <v>0</v>
      </c>
    </row>
    <row r="72" spans="1:14" ht="25.5">
      <c r="A72" s="10" t="s">
        <v>95</v>
      </c>
      <c r="B72" s="10" t="s">
        <v>274</v>
      </c>
      <c r="C72" s="11">
        <v>1</v>
      </c>
      <c r="D72" s="10" t="s">
        <v>142</v>
      </c>
      <c r="E72" s="10" t="s">
        <v>155</v>
      </c>
      <c r="F72" s="11" t="s">
        <v>147</v>
      </c>
      <c r="G72" s="11">
        <v>1</v>
      </c>
      <c r="H72" s="11">
        <f ca="1" t="shared" si="1"/>
        <v>1</v>
      </c>
      <c r="I72" s="11" t="s">
        <v>151</v>
      </c>
      <c r="J72" s="11">
        <v>1</v>
      </c>
      <c r="K72" s="11">
        <f ca="1" t="shared" si="0"/>
        <v>1</v>
      </c>
      <c r="L72" s="11">
        <f>IF(H72="",0,H72)+IF(K72="",0,K72)</f>
        <v>2</v>
      </c>
      <c r="M72" s="11">
        <f>SUMIF('Vorteile-Eigenschaften'!$B$4:$B$43,$A72,'Vorteile-Eigenschaften'!$D$4:$D$43)+SUMIF('Meisterschaften-Eigenschaften'!$B$4:$B$46,$A72,'Meisterschaften-Eigenschaften'!$D$4:$D$46)</f>
        <v>0</v>
      </c>
      <c r="N72" s="11">
        <f>SUMIF('Vorteile-Eigenschaften'!$B$4:$B$43,$A72,'Vorteile-Eigenschaften'!$F$4:$F$43)+SUMIF('Meisterschaften-Eigenschaften'!$B$4:$B$46,$A72,'Meisterschaften-Eigenschaften'!$F$4:$F$46)</f>
        <v>0</v>
      </c>
    </row>
    <row r="73" spans="1:14" ht="25.5">
      <c r="A73" s="10" t="s">
        <v>99</v>
      </c>
      <c r="B73" s="10" t="s">
        <v>273</v>
      </c>
      <c r="C73" s="11">
        <v>1</v>
      </c>
      <c r="D73" s="10" t="s">
        <v>142</v>
      </c>
      <c r="E73" s="10" t="s">
        <v>156</v>
      </c>
      <c r="F73" s="11" t="s">
        <v>149</v>
      </c>
      <c r="G73" s="11">
        <v>1</v>
      </c>
      <c r="H73" s="11">
        <f ca="1">IF(F73="","",G73*INDIRECT(INDIRECT(F73)))</f>
        <v>1</v>
      </c>
      <c r="I73" s="11" t="s">
        <v>153</v>
      </c>
      <c r="J73" s="11">
        <v>1</v>
      </c>
      <c r="K73" s="11">
        <f ca="1">IF(I73="","",J73*INDIRECT(INDIRECT(I73)))</f>
        <v>1</v>
      </c>
      <c r="L73" s="11">
        <f>IF(H73="",0,H73)+IF(K73="",0,K73)</f>
        <v>2</v>
      </c>
      <c r="M73" s="11">
        <f>SUMIF('Vorteile-Eigenschaften'!$B$4:$B$43,$A73,'Vorteile-Eigenschaften'!$D$4:$D$43)+SUMIF('Meisterschaften-Eigenschaften'!$B$4:$B$46,$A73,'Meisterschaften-Eigenschaften'!$D$4:$D$46)</f>
        <v>0</v>
      </c>
      <c r="N73" s="11">
        <f>SUMIF('Vorteile-Eigenschaften'!$B$4:$B$43,$A73,'Vorteile-Eigenschaften'!$F$4:$F$43)+SUMIF('Meisterschaften-Eigenschaften'!$B$4:$B$46,$A73,'Meisterschaften-Eigenschaften'!$F$4:$F$46)</f>
        <v>0</v>
      </c>
    </row>
    <row r="74" spans="1:14" ht="12.75">
      <c r="A74" s="10" t="s">
        <v>477</v>
      </c>
      <c r="B74" s="10"/>
      <c r="C74" s="11">
        <v>1</v>
      </c>
      <c r="D74" s="10" t="s">
        <v>142</v>
      </c>
      <c r="E74" s="10" t="s">
        <v>478</v>
      </c>
      <c r="F74" s="11" t="s">
        <v>455</v>
      </c>
      <c r="G74" s="11">
        <v>1</v>
      </c>
      <c r="H74" s="11">
        <f ca="1">IF(F74="","",G74*INDIRECT(INDIRECT(F74)))</f>
        <v>2</v>
      </c>
      <c r="I74" s="11"/>
      <c r="J74" s="11"/>
      <c r="K74" s="11"/>
      <c r="L74" s="11">
        <f>IF(H74="",0,H74)+IF(K74="",0,K74)</f>
        <v>2</v>
      </c>
      <c r="M74" s="11">
        <f>SUMIF('Vorteile-Eigenschaften'!$B$4:$B$43,$A74,'Vorteile-Eigenschaften'!$D$4:$D$43)+SUMIF('Meisterschaften-Eigenschaften'!$B$4:$B$46,$A74,'Meisterschaften-Eigenschaften'!$D$4:$D$46)</f>
        <v>0</v>
      </c>
      <c r="N74" s="11">
        <f>SUMIF('Vorteile-Eigenschaften'!$B$4:$B$43,$A74,'Vorteile-Eigenschaften'!$F$4:$F$43)+SUMIF('Meisterschaften-Eigenschaften'!$B$4:$B$46,$A74,'Meisterschaften-Eigenschaften'!$F$4:$F$46)</f>
        <v>0</v>
      </c>
    </row>
  </sheetData>
  <sheetProtection sheet="1"/>
  <autoFilter ref="A3:N74"/>
  <printOptions/>
  <pageMargins left="0.3937007874015748" right="0.3937007874015748" top="0.5905511811023623" bottom="0.5905511811023623" header="0.3937007874015748" footer="0.3937007874015748"/>
  <pageSetup fitToHeight="1" fitToWidth="1" horizontalDpi="300" verticalDpi="300" orientation="portrait" paperSize="9" scale="47" r:id="rId1"/>
  <headerFooter alignWithMargins="0">
    <oddHeader>&amp;R&amp;"Verdana,Standard"&amp;8Splittermond - Charakter-Generator (Beta) - v.1.1</oddHeader>
    <oddFooter>&amp;L&amp;"Verdana,Standard"&amp;8Marcus Renner - 18.06.2013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Olga und Marcus</dc:creator>
  <cp:keywords/>
  <dc:description/>
  <cp:lastModifiedBy>Olga und Marcus</cp:lastModifiedBy>
  <cp:lastPrinted>2013-06-18T07:28:03Z</cp:lastPrinted>
  <dcterms:created xsi:type="dcterms:W3CDTF">2013-06-11T17:39:38Z</dcterms:created>
  <dcterms:modified xsi:type="dcterms:W3CDTF">2013-06-18T08:06:00Z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linkTarget="Version">
    <vt:lpwstr>1.1</vt:lpwstr>
  </property>
  <property fmtid="{D5CDD505-2E9C-101B-9397-08002B2CF9AE}" pid="3" name="Datum" linkTarget="Datum">
    <vt:lpwstr>18.06.2013</vt:lpwstr>
  </property>
</Properties>
</file>